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7005" tabRatio="570" firstSheet="8" activeTab="14"/>
  </bookViews>
  <sheets>
    <sheet name="Work Sheet" sheetId="1" r:id="rId1"/>
    <sheet name="Budget Sum" sheetId="2" r:id="rId2"/>
    <sheet name="Budget Detail" sheetId="3" r:id="rId3"/>
    <sheet name="5 yr Budget" sheetId="4" r:id="rId4"/>
    <sheet name="Rd-MAP" sheetId="5" r:id="rId5"/>
    <sheet name="Rd-leg" sheetId="6" r:id="rId6"/>
    <sheet name="Rd-maint" sheetId="7" r:id="rId7"/>
    <sheet name="Sewer" sheetId="8" r:id="rId8"/>
    <sheet name="Population" sheetId="9" r:id="rId9"/>
    <sheet name="Payroll" sheetId="10" r:id="rId10"/>
    <sheet name="leg fund-sewer" sheetId="11" r:id="rId11"/>
    <sheet name="Priorities" sheetId="12" r:id="rId12"/>
    <sheet name="Rented Bldg-Old 66" sheetId="13" r:id="rId13"/>
    <sheet name="legislative" sheetId="14" r:id="rId14"/>
    <sheet name="ICIP 09" sheetId="15" r:id="rId15"/>
  </sheets>
  <externalReferences>
    <externalReference r:id="rId18"/>
    <externalReference r:id="rId19"/>
  </externalReferences>
  <definedNames>
    <definedName name="_xlnm.Print_Area" localSheetId="2">'Budget Detail'!$B$1:$L$760</definedName>
    <definedName name="_xlnm.Print_Area" localSheetId="9">'Payroll'!$A$1:$W$34</definedName>
    <definedName name="_xlnm.Print_Titles" localSheetId="2">'Budget Detail'!$1:$1</definedName>
  </definedNames>
  <calcPr fullCalcOnLoad="1"/>
</workbook>
</file>

<file path=xl/sharedStrings.xml><?xml version="1.0" encoding="utf-8"?>
<sst xmlns="http://schemas.openxmlformats.org/spreadsheetml/2006/main" count="2068" uniqueCount="1457">
  <si>
    <t>Account</t>
  </si>
  <si>
    <t>Description</t>
  </si>
  <si>
    <t>YTDActual</t>
  </si>
  <si>
    <t>CurrentBudget</t>
  </si>
  <si>
    <t>ProActual</t>
  </si>
  <si>
    <t>100-00-31100</t>
  </si>
  <si>
    <t>Franchise Tax</t>
  </si>
  <si>
    <t>100-00-31245</t>
  </si>
  <si>
    <t>Municipal Infrastructure GRT</t>
  </si>
  <si>
    <t>100-00-31250</t>
  </si>
  <si>
    <t>Municipal GRT</t>
  </si>
  <si>
    <t>100-00-32220</t>
  </si>
  <si>
    <t>Cigarette Tax</t>
  </si>
  <si>
    <t>100-00-32410</t>
  </si>
  <si>
    <t>State Shared GRT</t>
  </si>
  <si>
    <t>100-00-33100</t>
  </si>
  <si>
    <t>Animal Licenses</t>
  </si>
  <si>
    <t>100-00-33300</t>
  </si>
  <si>
    <t>Building Permits</t>
  </si>
  <si>
    <t>100-00-33400</t>
  </si>
  <si>
    <t>Business Registration</t>
  </si>
  <si>
    <t>100-00-33500</t>
  </si>
  <si>
    <t>Liqour License</t>
  </si>
  <si>
    <t>100-00-33600</t>
  </si>
  <si>
    <t>Subdivision Permits</t>
  </si>
  <si>
    <t>100-00-33800</t>
  </si>
  <si>
    <t>Zoning Permits</t>
  </si>
  <si>
    <t>100-00-33900</t>
  </si>
  <si>
    <t>Other Licenses &amp; Permits</t>
  </si>
  <si>
    <t>100-00-34010</t>
  </si>
  <si>
    <t>Administrative Services</t>
  </si>
  <si>
    <t>100-00-34030</t>
  </si>
  <si>
    <t>Animal Control Servives</t>
  </si>
  <si>
    <t>100-00-34040</t>
  </si>
  <si>
    <t>Care of Prisoners</t>
  </si>
  <si>
    <t>100-00-34070</t>
  </si>
  <si>
    <t>Clerk Fees</t>
  </si>
  <si>
    <t>100-00-34090</t>
  </si>
  <si>
    <t>Election Fees</t>
  </si>
  <si>
    <t>100-00-34150</t>
  </si>
  <si>
    <t>Printing &amp; Copying</t>
  </si>
  <si>
    <t>100-00-34190</t>
  </si>
  <si>
    <t>Community Center Rental</t>
  </si>
  <si>
    <t>100-00-34191</t>
  </si>
  <si>
    <t>Recreational Facility Rental</t>
  </si>
  <si>
    <t>100-00-34270</t>
  </si>
  <si>
    <t>Impact Fees</t>
  </si>
  <si>
    <t>100-00-34990</t>
  </si>
  <si>
    <t>Com. Center Cleaning Fees</t>
  </si>
  <si>
    <t>100-00-34995</t>
  </si>
  <si>
    <t>NSF Check Charge-Gen Fund-</t>
  </si>
  <si>
    <t>100-00-35010</t>
  </si>
  <si>
    <t>Local Correction Fee</t>
  </si>
  <si>
    <t>100-00-35020</t>
  </si>
  <si>
    <t>Municipal Court Fines</t>
  </si>
  <si>
    <t>100-00-35970</t>
  </si>
  <si>
    <t>Sale of Unclaimed/Confiscated Property</t>
  </si>
  <si>
    <t>100-00-35990</t>
  </si>
  <si>
    <t>Other Fines JEC</t>
  </si>
  <si>
    <t>100-00-36010</t>
  </si>
  <si>
    <t>Donations to Comm. Center</t>
  </si>
  <si>
    <t>100-00-36011</t>
  </si>
  <si>
    <t>Donations to Police Dept</t>
  </si>
  <si>
    <t>100-00-36012</t>
  </si>
  <si>
    <t>Donations to Fire Dept</t>
  </si>
  <si>
    <t>100-00-36013</t>
  </si>
  <si>
    <t>Donations to Town Office</t>
  </si>
  <si>
    <t>100-00-36020</t>
  </si>
  <si>
    <t>Insurance Recoveries</t>
  </si>
  <si>
    <t>100-00-36030</t>
  </si>
  <si>
    <t>Interest Income</t>
  </si>
  <si>
    <t>100-00-36050</t>
  </si>
  <si>
    <t>Late Fees</t>
  </si>
  <si>
    <t>100-00-36059</t>
  </si>
  <si>
    <t>NSF Check Fees</t>
  </si>
  <si>
    <t>100-00-36065</t>
  </si>
  <si>
    <t>Reimbursements/Refunds</t>
  </si>
  <si>
    <t>100-00-36069</t>
  </si>
  <si>
    <t>County Fire Stripend</t>
  </si>
  <si>
    <t>100-00-36070</t>
  </si>
  <si>
    <t>Rents &amp; Royalties</t>
  </si>
  <si>
    <t>100-00-36080</t>
  </si>
  <si>
    <t>Sale of Assets</t>
  </si>
  <si>
    <t>100-00-36090</t>
  </si>
  <si>
    <t>Sales-Other</t>
  </si>
  <si>
    <t>100-00-37040</t>
  </si>
  <si>
    <t>NM Beautiful - Youth Contract</t>
  </si>
  <si>
    <t>100-00-37041</t>
  </si>
  <si>
    <t>NM Beautiful - Local Govt</t>
  </si>
  <si>
    <t>100-00-37044</t>
  </si>
  <si>
    <t>NM Beautiful Solid Waste Gr</t>
  </si>
  <si>
    <t>100-00-37045</t>
  </si>
  <si>
    <t>Native Plant &amp; Landscape Gr</t>
  </si>
  <si>
    <t>100-00-37070</t>
  </si>
  <si>
    <t>DWI Grant</t>
  </si>
  <si>
    <t>100-00-37140</t>
  </si>
  <si>
    <t>State Library Grant</t>
  </si>
  <si>
    <t>100-00-37180</t>
  </si>
  <si>
    <t>Small Cities Assistance</t>
  </si>
  <si>
    <t>100-00-37201</t>
  </si>
  <si>
    <t>Traffic Safety - Step</t>
  </si>
  <si>
    <t>100-00-37202</t>
  </si>
  <si>
    <t>Traffic Safety - Buckle Down</t>
  </si>
  <si>
    <t>100-00-37205</t>
  </si>
  <si>
    <t>NMDOTSTIP Grant</t>
  </si>
  <si>
    <t>100-00-37206</t>
  </si>
  <si>
    <t>Police Walmart Grant</t>
  </si>
  <si>
    <t>100-00-37230</t>
  </si>
  <si>
    <t>Leg. Grant - Multiuse Path</t>
  </si>
  <si>
    <t>100-00-37231</t>
  </si>
  <si>
    <t>Mun. Court Automation Grant</t>
  </si>
  <si>
    <t>100-00-37232</t>
  </si>
  <si>
    <t>Leg. Grant - C.O. Com ctr</t>
  </si>
  <si>
    <t>100-00-37233</t>
  </si>
  <si>
    <t>DFA Leg. Appropriation (99-0389) Municipal Bldg</t>
  </si>
  <si>
    <t>100-00-37234</t>
  </si>
  <si>
    <t>DFA Leg. App (00-0393) Municipal Bldg</t>
  </si>
  <si>
    <t>100-00-37235</t>
  </si>
  <si>
    <t>DFA Leg. App (00-0585) Municipal Bldg</t>
  </si>
  <si>
    <t>100-00-37236</t>
  </si>
  <si>
    <t>DFA Leg. App (06-0525) Municipal Facilities</t>
  </si>
  <si>
    <t>100-00-37237</t>
  </si>
  <si>
    <t>Municipal Court Reimbursement</t>
  </si>
  <si>
    <t>100-00-37238</t>
  </si>
  <si>
    <t>DHS Grant</t>
  </si>
  <si>
    <t>100-00-37239</t>
  </si>
  <si>
    <t>Go Bond Grant for Library</t>
  </si>
  <si>
    <t>100-00-37240</t>
  </si>
  <si>
    <t>NM Commt. Found. - Library</t>
  </si>
  <si>
    <t>100-00-37670</t>
  </si>
  <si>
    <t>BJA Bulletproof Vest Grant</t>
  </si>
  <si>
    <t>101-00-34991</t>
  </si>
  <si>
    <t>Deposit</t>
  </si>
  <si>
    <t>102-00-34991</t>
  </si>
  <si>
    <t>103-00-34991</t>
  </si>
  <si>
    <t>104-00-34991</t>
  </si>
  <si>
    <t>105-00-34990</t>
  </si>
  <si>
    <t>Sweep Credit</t>
  </si>
  <si>
    <t>105-00-34991</t>
  </si>
  <si>
    <t>202-00-31230</t>
  </si>
  <si>
    <t>Environmental GRT</t>
  </si>
  <si>
    <t>202-00-36030</t>
  </si>
  <si>
    <t>206-00-36030</t>
  </si>
  <si>
    <t>206-00-37090</t>
  </si>
  <si>
    <t>State EMS</t>
  </si>
  <si>
    <t>211-00-36030</t>
  </si>
  <si>
    <t>211-00-37130</t>
  </si>
  <si>
    <t>LEPF Grant</t>
  </si>
  <si>
    <t>211-00-37800</t>
  </si>
  <si>
    <t>Debt &amp; Capital</t>
  </si>
  <si>
    <t>217-00-32220</t>
  </si>
  <si>
    <t>218-00-37520</t>
  </si>
  <si>
    <t>CDBG Planning Grant</t>
  </si>
  <si>
    <t>311-00-31250</t>
  </si>
  <si>
    <t>311-00-34240</t>
  </si>
  <si>
    <t>Sewer Connection Fees</t>
  </si>
  <si>
    <t>311-00-36020</t>
  </si>
  <si>
    <t>311-00-36030</t>
  </si>
  <si>
    <t>311-00-37241</t>
  </si>
  <si>
    <t>State/Other Wastewater Grant</t>
  </si>
  <si>
    <t>311-00-37690</t>
  </si>
  <si>
    <t>EPA Grant - Collection Lines</t>
  </si>
  <si>
    <t>399-00-37238</t>
  </si>
  <si>
    <t>399-00-37242</t>
  </si>
  <si>
    <t>Leg. Grant - Comm Ctr</t>
  </si>
  <si>
    <t>399-00-37243</t>
  </si>
  <si>
    <t>Leg. Grant Public Safety Building</t>
  </si>
  <si>
    <t>399-00-37244</t>
  </si>
  <si>
    <t>Leg. Grant Basketball Court</t>
  </si>
  <si>
    <t>399-00-37245</t>
  </si>
  <si>
    <t>Leg. Grant Municipal Offices</t>
  </si>
  <si>
    <t>399-00-37246</t>
  </si>
  <si>
    <t>Leg. Grant</t>
  </si>
  <si>
    <t>399-00-37247</t>
  </si>
  <si>
    <t>399-00-37248</t>
  </si>
  <si>
    <t>399-00-37267</t>
  </si>
  <si>
    <t>600-00-34270</t>
  </si>
  <si>
    <t>700-00-20200</t>
  </si>
  <si>
    <t>Cell Tower Deposit</t>
  </si>
  <si>
    <t>100-00-48901</t>
  </si>
  <si>
    <t>Sweep Debit</t>
  </si>
  <si>
    <t>105-00-48901</t>
  </si>
  <si>
    <t>202-00-45900</t>
  </si>
  <si>
    <t>Other Contractual Services</t>
  </si>
  <si>
    <t>202-00-52311</t>
  </si>
  <si>
    <t>Transfer Out - Util Cnst</t>
  </si>
  <si>
    <t>206-00-46021</t>
  </si>
  <si>
    <t>EMS Grant</t>
  </si>
  <si>
    <t>206-00-47040</t>
  </si>
  <si>
    <t>Conferences/Training</t>
  </si>
  <si>
    <t>211-00-46020</t>
  </si>
  <si>
    <t>Non-Cap. Equip. Furn. Fixture</t>
  </si>
  <si>
    <t>211-00-47040</t>
  </si>
  <si>
    <t>211-00-47211</t>
  </si>
  <si>
    <t>Other Operating Costs</t>
  </si>
  <si>
    <t>211-00-48020</t>
  </si>
  <si>
    <t>C.O Equipment</t>
  </si>
  <si>
    <t>211-00-48070</t>
  </si>
  <si>
    <t>C.O Vehicles</t>
  </si>
  <si>
    <t>217-00-44010</t>
  </si>
  <si>
    <t>Maintenance Building/Struct</t>
  </si>
  <si>
    <t>217-00-44030</t>
  </si>
  <si>
    <t>Maintenance Grounds</t>
  </si>
  <si>
    <t>217-00-45900</t>
  </si>
  <si>
    <t>217-00-46900</t>
  </si>
  <si>
    <t>Other Supplies</t>
  </si>
  <si>
    <t>217-00-46999</t>
  </si>
  <si>
    <t>Maintenance Supplies</t>
  </si>
  <si>
    <t>217-00-47060</t>
  </si>
  <si>
    <t>Insurance</t>
  </si>
  <si>
    <t>217-00-51100</t>
  </si>
  <si>
    <t>Transfer In General</t>
  </si>
  <si>
    <t>218-00-51100</t>
  </si>
  <si>
    <t>299-00-44020</t>
  </si>
  <si>
    <t>Maintenance Contracts</t>
  </si>
  <si>
    <t>299-00-44040</t>
  </si>
  <si>
    <t>Maintenance/Repair Vehicles</t>
  </si>
  <si>
    <t>299-00-44041</t>
  </si>
  <si>
    <t>Equipment - Maint/Repair</t>
  </si>
  <si>
    <t>299-00-44042</t>
  </si>
  <si>
    <t>Computer Maintenance/Repair</t>
  </si>
  <si>
    <t>299-00-45011</t>
  </si>
  <si>
    <t>IRRECONCILABLE DIFFERENCES</t>
  </si>
  <si>
    <t>299-00-45030</t>
  </si>
  <si>
    <t>Professional Services</t>
  </si>
  <si>
    <t>299-00-45900</t>
  </si>
  <si>
    <t>299-00-45995</t>
  </si>
  <si>
    <t>Community Watch Expense</t>
  </si>
  <si>
    <t>299-00-46010</t>
  </si>
  <si>
    <t>Office Supplies</t>
  </si>
  <si>
    <t>299-00-46011</t>
  </si>
  <si>
    <t>Field Supplies</t>
  </si>
  <si>
    <t>299-00-46020</t>
  </si>
  <si>
    <t>299-00-46021</t>
  </si>
  <si>
    <t>299-00-46030</t>
  </si>
  <si>
    <t>Safety Equipment</t>
  </si>
  <si>
    <t>299-00-46040</t>
  </si>
  <si>
    <t>Uniforms</t>
  </si>
  <si>
    <t>299-00-47040</t>
  </si>
  <si>
    <t>299-00-47070</t>
  </si>
  <si>
    <t>Postage</t>
  </si>
  <si>
    <t>299-00-47080</t>
  </si>
  <si>
    <t>Printing &amp; Publications</t>
  </si>
  <si>
    <t>299-00-48020</t>
  </si>
  <si>
    <t>299-00-48022</t>
  </si>
  <si>
    <t>C.O DWI Grant</t>
  </si>
  <si>
    <t>299-00-48070</t>
  </si>
  <si>
    <t>299-00-48080</t>
  </si>
  <si>
    <t>C.O Streets</t>
  </si>
  <si>
    <t>299-00-48090</t>
  </si>
  <si>
    <t>C.O. - Traffic Signs</t>
  </si>
  <si>
    <t>299-00-51100</t>
  </si>
  <si>
    <t>299-00-52100</t>
  </si>
  <si>
    <t>Transfer Out General Fund</t>
  </si>
  <si>
    <t>311-00-45030</t>
  </si>
  <si>
    <t>311-00-45900</t>
  </si>
  <si>
    <t>311-00-46900</t>
  </si>
  <si>
    <t>311-00-47060</t>
  </si>
  <si>
    <t>311-00-47061</t>
  </si>
  <si>
    <t>311-00-47069</t>
  </si>
  <si>
    <t>Liability Ins. Deductables</t>
  </si>
  <si>
    <t>311-00-47080</t>
  </si>
  <si>
    <t>311-00-47120</t>
  </si>
  <si>
    <t>Equipment Rental</t>
  </si>
  <si>
    <t>311-00-47210</t>
  </si>
  <si>
    <t>W.C Premium</t>
  </si>
  <si>
    <t>311-00-51202</t>
  </si>
  <si>
    <t>Transfer In - Environ. GRT</t>
  </si>
  <si>
    <t>311-00-51503</t>
  </si>
  <si>
    <t>Transfer In - Sewer Fund</t>
  </si>
  <si>
    <t>399-00-48010</t>
  </si>
  <si>
    <t>CO - Leg. Grant - Lib Addit</t>
  </si>
  <si>
    <t>399-00-48011</t>
  </si>
  <si>
    <t>C.O Building</t>
  </si>
  <si>
    <t>399-00-48012</t>
  </si>
  <si>
    <t>C.O Leg. Grant Basketball Court</t>
  </si>
  <si>
    <t>399-00-48020</t>
  </si>
  <si>
    <t>399-00-48900</t>
  </si>
  <si>
    <t>399-00-48901</t>
  </si>
  <si>
    <t>399-00-48931</t>
  </si>
  <si>
    <t>399-00-48932</t>
  </si>
  <si>
    <t>399-00-51000</t>
  </si>
  <si>
    <t>TEMP TRANS IN - Gen Fund</t>
  </si>
  <si>
    <t>399-00-51100</t>
  </si>
  <si>
    <t>399-00-51110</t>
  </si>
  <si>
    <t>Trans In - GF Unapp. Res.</t>
  </si>
  <si>
    <t>399-00-51120</t>
  </si>
  <si>
    <t>Trans In - GF Land Res.</t>
  </si>
  <si>
    <t>399-00-51311</t>
  </si>
  <si>
    <t>Transfer In - Sewer Con. Fu</t>
  </si>
  <si>
    <t>399-00-52110</t>
  </si>
  <si>
    <t>Trans. Out - GF Unapp.</t>
  </si>
  <si>
    <t>600-00-45011</t>
  </si>
  <si>
    <t>600-00-45030</t>
  </si>
  <si>
    <t>600-00-45900</t>
  </si>
  <si>
    <t>700-00-45010</t>
  </si>
  <si>
    <t>Audit Contract</t>
  </si>
  <si>
    <t>700-00-45020</t>
  </si>
  <si>
    <t>Attorny Fees</t>
  </si>
  <si>
    <t>700-00-51000</t>
  </si>
  <si>
    <t>700-00-52000</t>
  </si>
  <si>
    <t>Transfer Out</t>
  </si>
  <si>
    <t>100-01-41010</t>
  </si>
  <si>
    <t>Salary Elected</t>
  </si>
  <si>
    <t>100-01-41020</t>
  </si>
  <si>
    <t>Salaries</t>
  </si>
  <si>
    <t>100-01-41030</t>
  </si>
  <si>
    <t>Salaries-PT</t>
  </si>
  <si>
    <t>100-01-42010</t>
  </si>
  <si>
    <t>FICA</t>
  </si>
  <si>
    <t>100-01-42020</t>
  </si>
  <si>
    <t>Medicare</t>
  </si>
  <si>
    <t>100-01-42030</t>
  </si>
  <si>
    <t>PERA</t>
  </si>
  <si>
    <t>100-01-42050</t>
  </si>
  <si>
    <t>Employee Insurance</t>
  </si>
  <si>
    <t>100-01-42060</t>
  </si>
  <si>
    <t>RHCA</t>
  </si>
  <si>
    <t>100-01-42080</t>
  </si>
  <si>
    <t>W/C Assessment</t>
  </si>
  <si>
    <t>100-01-43010</t>
  </si>
  <si>
    <t>Mileage Reimbursement</t>
  </si>
  <si>
    <t>100-01-43020</t>
  </si>
  <si>
    <t>Per Diem</t>
  </si>
  <si>
    <t>100-01-45020</t>
  </si>
  <si>
    <t>100-01-45030</t>
  </si>
  <si>
    <t>100-01-45900</t>
  </si>
  <si>
    <t>100-01-46010</t>
  </si>
  <si>
    <t>100-01-46900</t>
  </si>
  <si>
    <t>100-01-47040</t>
  </si>
  <si>
    <t>100-01-47060</t>
  </si>
  <si>
    <t>100-01-47080</t>
  </si>
  <si>
    <t>100-01-47130</t>
  </si>
  <si>
    <t>Rent of Land/Building</t>
  </si>
  <si>
    <t>100-01-47140</t>
  </si>
  <si>
    <t>Dues &amp; Subsriptions</t>
  </si>
  <si>
    <t>100-01-47210</t>
  </si>
  <si>
    <t>100-01-47220</t>
  </si>
  <si>
    <t>Penalties</t>
  </si>
  <si>
    <t>100-01-48040</t>
  </si>
  <si>
    <t>Animal Shelter Land Acquisition</t>
  </si>
  <si>
    <t>100-02-41020</t>
  </si>
  <si>
    <t>100-02-41030</t>
  </si>
  <si>
    <t>100-02-41050</t>
  </si>
  <si>
    <t>Overtime</t>
  </si>
  <si>
    <t>100-02-41900</t>
  </si>
  <si>
    <t>Salary Allotment</t>
  </si>
  <si>
    <t>100-02-42010</t>
  </si>
  <si>
    <t>100-02-42020</t>
  </si>
  <si>
    <t>100-02-42030</t>
  </si>
  <si>
    <t>100-02-42050</t>
  </si>
  <si>
    <t>100-02-42060</t>
  </si>
  <si>
    <t>100-02-42070</t>
  </si>
  <si>
    <t>Unemployment Insurance</t>
  </si>
  <si>
    <t>100-02-42080</t>
  </si>
  <si>
    <t>100-02-43010</t>
  </si>
  <si>
    <t>100-02-43020</t>
  </si>
  <si>
    <t>100-02-43030</t>
  </si>
  <si>
    <t>Gas &amp; Oil</t>
  </si>
  <si>
    <t>100-02-44010</t>
  </si>
  <si>
    <t>100-02-44020</t>
  </si>
  <si>
    <t>100-02-44040</t>
  </si>
  <si>
    <t>100-02-44041</t>
  </si>
  <si>
    <t>100-02-44042</t>
  </si>
  <si>
    <t>100-02-45010</t>
  </si>
  <si>
    <t>100-02-45011</t>
  </si>
  <si>
    <t>100-02-45020</t>
  </si>
  <si>
    <t>100-02-45030</t>
  </si>
  <si>
    <t>100-02-45031</t>
  </si>
  <si>
    <t>Lobbyist</t>
  </si>
  <si>
    <t>100-02-45900</t>
  </si>
  <si>
    <t>100-02-45905</t>
  </si>
  <si>
    <t>100-02-45906</t>
  </si>
  <si>
    <t>100-02-46010</t>
  </si>
  <si>
    <t>100-02-46020</t>
  </si>
  <si>
    <t>100-02-46030</t>
  </si>
  <si>
    <t>100-02-46040</t>
  </si>
  <si>
    <t>100-02-46900</t>
  </si>
  <si>
    <t>100-02-46901</t>
  </si>
  <si>
    <t>Promotion/Awards</t>
  </si>
  <si>
    <t>100-02-47030</t>
  </si>
  <si>
    <t>Claim/Judgement/Settlements</t>
  </si>
  <si>
    <t>100-02-47040</t>
  </si>
  <si>
    <t>100-02-47060</t>
  </si>
  <si>
    <t>100-02-47070</t>
  </si>
  <si>
    <t>100-02-47080</t>
  </si>
  <si>
    <t>100-02-47111</t>
  </si>
  <si>
    <t>Fees - Bank. Filing, etc.</t>
  </si>
  <si>
    <t>100-02-47115</t>
  </si>
  <si>
    <t>Admin Fees - CRS Taxes</t>
  </si>
  <si>
    <t>100-02-47120</t>
  </si>
  <si>
    <t>100-02-47130</t>
  </si>
  <si>
    <t>100-02-47140</t>
  </si>
  <si>
    <t>100-02-47150</t>
  </si>
  <si>
    <t>Telephone/Internet</t>
  </si>
  <si>
    <t>100-02-47160</t>
  </si>
  <si>
    <t>Utilities</t>
  </si>
  <si>
    <t>100-02-47170</t>
  </si>
  <si>
    <t>Election Expense</t>
  </si>
  <si>
    <t>100-02-47210</t>
  </si>
  <si>
    <t>100-02-47211</t>
  </si>
  <si>
    <t>100-02-47220</t>
  </si>
  <si>
    <t>100-02-48010</t>
  </si>
  <si>
    <t>Building &amp; Structures</t>
  </si>
  <si>
    <t>100-02-48030</t>
  </si>
  <si>
    <t>Furniture &amp; Fixtures</t>
  </si>
  <si>
    <t>201-03-35010</t>
  </si>
  <si>
    <t>100-03-41010</t>
  </si>
  <si>
    <t>100-03-41020</t>
  </si>
  <si>
    <t>100-03-41030</t>
  </si>
  <si>
    <t>100-03-41900</t>
  </si>
  <si>
    <t>100-03-42010</t>
  </si>
  <si>
    <t>100-03-42020</t>
  </si>
  <si>
    <t>100-03-42030</t>
  </si>
  <si>
    <t>100-03-42050</t>
  </si>
  <si>
    <t>100-03-42060</t>
  </si>
  <si>
    <t>100-03-42070</t>
  </si>
  <si>
    <t>100-03-42080</t>
  </si>
  <si>
    <t>100-03-43010</t>
  </si>
  <si>
    <t>100-03-44020</t>
  </si>
  <si>
    <t>100-03-44042</t>
  </si>
  <si>
    <t>100-03-45020</t>
  </si>
  <si>
    <t>100-03-45030</t>
  </si>
  <si>
    <t>100-03-45900</t>
  </si>
  <si>
    <t>100-03-46010</t>
  </si>
  <si>
    <t>100-03-46020</t>
  </si>
  <si>
    <t>100-03-46900</t>
  </si>
  <si>
    <t>100-03-47010</t>
  </si>
  <si>
    <t>Communications</t>
  </si>
  <si>
    <t>100-03-47040</t>
  </si>
  <si>
    <t>100-03-47060</t>
  </si>
  <si>
    <t>100-03-47069</t>
  </si>
  <si>
    <t>100-03-47070</t>
  </si>
  <si>
    <t>100-03-47080</t>
  </si>
  <si>
    <t>100-03-47140</t>
  </si>
  <si>
    <t>100-03-47150</t>
  </si>
  <si>
    <t>100-03-47200</t>
  </si>
  <si>
    <t>Indigent Claims</t>
  </si>
  <si>
    <t>100-03-47210</t>
  </si>
  <si>
    <t>100-03-47220</t>
  </si>
  <si>
    <t>100-04-41020</t>
  </si>
  <si>
    <t>100-04-41030</t>
  </si>
  <si>
    <t>100-04-41050</t>
  </si>
  <si>
    <t>100-04-42010</t>
  </si>
  <si>
    <t>100-04-42020</t>
  </si>
  <si>
    <t>100-04-42030</t>
  </si>
  <si>
    <t>100-04-42050</t>
  </si>
  <si>
    <t>100-04-42060</t>
  </si>
  <si>
    <t>100-04-42070</t>
  </si>
  <si>
    <t>100-04-42080</t>
  </si>
  <si>
    <t>100-04-43020</t>
  </si>
  <si>
    <t>100-04-43030</t>
  </si>
  <si>
    <t>100-04-44010</t>
  </si>
  <si>
    <t>100-04-44020</t>
  </si>
  <si>
    <t>100-04-44030</t>
  </si>
  <si>
    <t>100-04-44040</t>
  </si>
  <si>
    <t>100-04-45020</t>
  </si>
  <si>
    <t>100-04-45030</t>
  </si>
  <si>
    <t>100-04-45900</t>
  </si>
  <si>
    <t>100-04-45901</t>
  </si>
  <si>
    <t>Animal Impound Fees</t>
  </si>
  <si>
    <t>100-04-46010</t>
  </si>
  <si>
    <t>100-04-46030</t>
  </si>
  <si>
    <t>100-04-46040</t>
  </si>
  <si>
    <t>100-04-46900</t>
  </si>
  <si>
    <t>100-04-46999</t>
  </si>
  <si>
    <t>100-04-47040</t>
  </si>
  <si>
    <t>100-04-47041</t>
  </si>
  <si>
    <t>Vector Control Training</t>
  </si>
  <si>
    <t>100-04-47060</t>
  </si>
  <si>
    <t>100-04-47070</t>
  </si>
  <si>
    <t>100-04-47080</t>
  </si>
  <si>
    <t>100-04-47120</t>
  </si>
  <si>
    <t>100-04-47140</t>
  </si>
  <si>
    <t>100-04-47150</t>
  </si>
  <si>
    <t>100-04-47160</t>
  </si>
  <si>
    <t>100-04-47210</t>
  </si>
  <si>
    <t>100-04-47211</t>
  </si>
  <si>
    <t>100-04-47220</t>
  </si>
  <si>
    <t>100-04-47223</t>
  </si>
  <si>
    <t>Animal Shelter</t>
  </si>
  <si>
    <t>100-05-31230</t>
  </si>
  <si>
    <t>Municipal Police</t>
  </si>
  <si>
    <t>100-05-41020</t>
  </si>
  <si>
    <t>100-05-41030</t>
  </si>
  <si>
    <t>100-05-41050</t>
  </si>
  <si>
    <t>100-05-41051</t>
  </si>
  <si>
    <t>1 1/2 X Hol OT</t>
  </si>
  <si>
    <t>100-05-41052</t>
  </si>
  <si>
    <t>Grant Overtime</t>
  </si>
  <si>
    <t>100-05-41900</t>
  </si>
  <si>
    <t>100-05-42010</t>
  </si>
  <si>
    <t>100-05-42020</t>
  </si>
  <si>
    <t>100-05-42030</t>
  </si>
  <si>
    <t>100-05-42050</t>
  </si>
  <si>
    <t>100-05-42060</t>
  </si>
  <si>
    <t>100-05-42070</t>
  </si>
  <si>
    <t>100-05-42080</t>
  </si>
  <si>
    <t>100-05-43010</t>
  </si>
  <si>
    <t>100-05-43020</t>
  </si>
  <si>
    <t>100-05-43030</t>
  </si>
  <si>
    <t>Transportation Expense</t>
  </si>
  <si>
    <t>100-05-44010</t>
  </si>
  <si>
    <t>100-05-44020</t>
  </si>
  <si>
    <t>100-05-44040</t>
  </si>
  <si>
    <t>100-05-44041</t>
  </si>
  <si>
    <t>100-05-44042</t>
  </si>
  <si>
    <t>100-05-45020</t>
  </si>
  <si>
    <t>100-05-45030</t>
  </si>
  <si>
    <t>100-05-45900</t>
  </si>
  <si>
    <t>100-05-46010</t>
  </si>
  <si>
    <t>100-05-46011</t>
  </si>
  <si>
    <t>100-05-46012</t>
  </si>
  <si>
    <t>Ammunition</t>
  </si>
  <si>
    <t>100-05-46020</t>
  </si>
  <si>
    <t>100-05-46030</t>
  </si>
  <si>
    <t>100-05-46040</t>
  </si>
  <si>
    <t>100-05-46900</t>
  </si>
  <si>
    <t>100-05-46998</t>
  </si>
  <si>
    <t>Traffic Safety</t>
  </si>
  <si>
    <t>100-05-47020</t>
  </si>
  <si>
    <t>Care of Prisioners</t>
  </si>
  <si>
    <t>100-05-47040</t>
  </si>
  <si>
    <t>100-05-47060</t>
  </si>
  <si>
    <t>100-05-47065</t>
  </si>
  <si>
    <t>Insurance - Comm Watch Vol</t>
  </si>
  <si>
    <t>100-05-47069</t>
  </si>
  <si>
    <t>100-05-47070</t>
  </si>
  <si>
    <t>100-05-47080</t>
  </si>
  <si>
    <t>100-05-47120</t>
  </si>
  <si>
    <t>100-05-47130</t>
  </si>
  <si>
    <t>100-05-47140</t>
  </si>
  <si>
    <t>100-05-47150</t>
  </si>
  <si>
    <t>100-05-47160</t>
  </si>
  <si>
    <t>100-05-47210</t>
  </si>
  <si>
    <t>100-05-47211</t>
  </si>
  <si>
    <t>100-05-47220</t>
  </si>
  <si>
    <t>100-05-48020</t>
  </si>
  <si>
    <t>100-05-48021</t>
  </si>
  <si>
    <t>STIP Grant</t>
  </si>
  <si>
    <t>100-05-48022</t>
  </si>
  <si>
    <t>100-05-48030</t>
  </si>
  <si>
    <t>100-05-48070</t>
  </si>
  <si>
    <t>100-05-48900</t>
  </si>
  <si>
    <t>Other Capital Purchases</t>
  </si>
  <si>
    <t>217-07-32220</t>
  </si>
  <si>
    <t>217-07-34180</t>
  </si>
  <si>
    <t>Recreation Fees</t>
  </si>
  <si>
    <t>217-07-34181</t>
  </si>
  <si>
    <t>Walk a Mile</t>
  </si>
  <si>
    <t>217-07-34182</t>
  </si>
  <si>
    <t>YES Registration</t>
  </si>
  <si>
    <t>217-07-34183</t>
  </si>
  <si>
    <t>Tourism</t>
  </si>
  <si>
    <t>217-07-34184</t>
  </si>
  <si>
    <t>Clean &amp; Beautiful</t>
  </si>
  <si>
    <t>100-07-41020</t>
  </si>
  <si>
    <t>100-07-41030</t>
  </si>
  <si>
    <t>100-07-41050</t>
  </si>
  <si>
    <t>100-07-42010</t>
  </si>
  <si>
    <t>100-07-42020</t>
  </si>
  <si>
    <t>100-07-42030</t>
  </si>
  <si>
    <t>100-07-42050</t>
  </si>
  <si>
    <t>100-07-42060</t>
  </si>
  <si>
    <t>100-07-42070</t>
  </si>
  <si>
    <t>100-07-42080</t>
  </si>
  <si>
    <t>100-07-44020</t>
  </si>
  <si>
    <t>100-07-44040</t>
  </si>
  <si>
    <t>100-07-44041</t>
  </si>
  <si>
    <t>100-07-45030</t>
  </si>
  <si>
    <t>100-07-45900</t>
  </si>
  <si>
    <t>100-07-46013</t>
  </si>
  <si>
    <t>Supplies</t>
  </si>
  <si>
    <t>100-07-46014</t>
  </si>
  <si>
    <t>Vector Control Supplies</t>
  </si>
  <si>
    <t>100-07-46019</t>
  </si>
  <si>
    <t>Light Pole Decoration Supplies</t>
  </si>
  <si>
    <t>100-07-46020</t>
  </si>
  <si>
    <t>100-07-46030</t>
  </si>
  <si>
    <t>100-07-46040</t>
  </si>
  <si>
    <t>100-07-46995</t>
  </si>
  <si>
    <t>Weed Control</t>
  </si>
  <si>
    <t>100-07-46999</t>
  </si>
  <si>
    <t>217-07-41020</t>
  </si>
  <si>
    <t>217-07-41030</t>
  </si>
  <si>
    <t>217-07-42010</t>
  </si>
  <si>
    <t>217-07-42020</t>
  </si>
  <si>
    <t>217-07-42030</t>
  </si>
  <si>
    <t>217-07-42050</t>
  </si>
  <si>
    <t>217-07-42070</t>
  </si>
  <si>
    <t>217-07-42080</t>
  </si>
  <si>
    <t>217-07-43010</t>
  </si>
  <si>
    <t>217-07-43030</t>
  </si>
  <si>
    <t>217-07-44010</t>
  </si>
  <si>
    <t>217-07-44900</t>
  </si>
  <si>
    <t>Maintenance Other</t>
  </si>
  <si>
    <t>217-07-45900</t>
  </si>
  <si>
    <t>217-07-46010</t>
  </si>
  <si>
    <t>217-07-47040</t>
  </si>
  <si>
    <t>217-07-47140</t>
  </si>
  <si>
    <t>217-07-47150</t>
  </si>
  <si>
    <t>217-07-47211</t>
  </si>
  <si>
    <t>217-07-47214</t>
  </si>
  <si>
    <t>217-07-47215</t>
  </si>
  <si>
    <t>Community Classes</t>
  </si>
  <si>
    <t>217-07-47217</t>
  </si>
  <si>
    <t>Environmental Education</t>
  </si>
  <si>
    <t>217-07-47222</t>
  </si>
  <si>
    <t>YES Program</t>
  </si>
  <si>
    <t>216-08-32310</t>
  </si>
  <si>
    <t>Gas Tax - County/Municipal</t>
  </si>
  <si>
    <t>100-08-41020</t>
  </si>
  <si>
    <t>100-08-41030</t>
  </si>
  <si>
    <t>100-08-41050</t>
  </si>
  <si>
    <t>100-08-41900</t>
  </si>
  <si>
    <t>100-08-42010</t>
  </si>
  <si>
    <t>100-08-42020</t>
  </si>
  <si>
    <t>100-08-42030</t>
  </si>
  <si>
    <t>100-08-42050</t>
  </si>
  <si>
    <t>100-08-42060</t>
  </si>
  <si>
    <t>100-08-42070</t>
  </si>
  <si>
    <t>100-08-42080</t>
  </si>
  <si>
    <t>100-08-44020</t>
  </si>
  <si>
    <t>100-08-44040</t>
  </si>
  <si>
    <t>100-08-44041</t>
  </si>
  <si>
    <t>100-08-45030</t>
  </si>
  <si>
    <t>100-08-45900</t>
  </si>
  <si>
    <t>100-08-46013</t>
  </si>
  <si>
    <t>100-08-46014</t>
  </si>
  <si>
    <t>100-08-46019</t>
  </si>
  <si>
    <t>100-08-46020</t>
  </si>
  <si>
    <t>100-08-46030</t>
  </si>
  <si>
    <t>100-08-46040</t>
  </si>
  <si>
    <t>100-08-46995</t>
  </si>
  <si>
    <t>100-08-46999</t>
  </si>
  <si>
    <t>100-08-47040</t>
  </si>
  <si>
    <t>100-08-47041</t>
  </si>
  <si>
    <t>100-08-47060</t>
  </si>
  <si>
    <t>100-08-47069</t>
  </si>
  <si>
    <t>100-08-47120</t>
  </si>
  <si>
    <t>100-08-47141</t>
  </si>
  <si>
    <t>Vector - Dues &amp; Subscriptions</t>
  </si>
  <si>
    <t>100-08-47150</t>
  </si>
  <si>
    <t>100-08-47160</t>
  </si>
  <si>
    <t>100-08-47210</t>
  </si>
  <si>
    <t>100-08-47220</t>
  </si>
  <si>
    <t>216-08-41020</t>
  </si>
  <si>
    <t>216-08-42010</t>
  </si>
  <si>
    <t>216-08-42020</t>
  </si>
  <si>
    <t>216-08-42030</t>
  </si>
  <si>
    <t>216-08-42050</t>
  </si>
  <si>
    <t>216-08-42070</t>
  </si>
  <si>
    <t>216-08-42080</t>
  </si>
  <si>
    <t>216-08-43010</t>
  </si>
  <si>
    <t>216-08-43030</t>
  </si>
  <si>
    <t>216-08-44030</t>
  </si>
  <si>
    <t>216-08-44040</t>
  </si>
  <si>
    <t>216-08-44900</t>
  </si>
  <si>
    <t>Maintenance-Other</t>
  </si>
  <si>
    <t>216-08-46010</t>
  </si>
  <si>
    <t>216-08-46020</t>
  </si>
  <si>
    <t>216-08-46030</t>
  </si>
  <si>
    <t>216-08-46040</t>
  </si>
  <si>
    <t>216-08-47120</t>
  </si>
  <si>
    <t>216-08-47130</t>
  </si>
  <si>
    <t>216-08-47140</t>
  </si>
  <si>
    <t>216-08-47211</t>
  </si>
  <si>
    <t>216-08-48020</t>
  </si>
  <si>
    <t>Equipment &amp; Machinery</t>
  </si>
  <si>
    <t>100-09-41020</t>
  </si>
  <si>
    <t>100-09-41030</t>
  </si>
  <si>
    <t>100-09-41050</t>
  </si>
  <si>
    <t>100-09-41900</t>
  </si>
  <si>
    <t>100-09-42010</t>
  </si>
  <si>
    <t>100-09-42020</t>
  </si>
  <si>
    <t>100-09-42030</t>
  </si>
  <si>
    <t>100-09-42050</t>
  </si>
  <si>
    <t>100-09-42060</t>
  </si>
  <si>
    <t>100-09-42070</t>
  </si>
  <si>
    <t>100-09-42080</t>
  </si>
  <si>
    <t>100-09-43010</t>
  </si>
  <si>
    <t>100-09-43020</t>
  </si>
  <si>
    <t>100-09-44030</t>
  </si>
  <si>
    <t>100-09-44040</t>
  </si>
  <si>
    <t>100-09-44042</t>
  </si>
  <si>
    <t>100-09-45020</t>
  </si>
  <si>
    <t>100-09-45030</t>
  </si>
  <si>
    <t>100-09-45900</t>
  </si>
  <si>
    <t>100-09-46010</t>
  </si>
  <si>
    <t>100-09-46020</t>
  </si>
  <si>
    <t>100-09-46900</t>
  </si>
  <si>
    <t>100-09-47040</t>
  </si>
  <si>
    <t>100-09-47060</t>
  </si>
  <si>
    <t>100-09-47070</t>
  </si>
  <si>
    <t>100-09-47080</t>
  </si>
  <si>
    <t>100-09-47111</t>
  </si>
  <si>
    <t>100-09-47140</t>
  </si>
  <si>
    <t>100-09-47150</t>
  </si>
  <si>
    <t>100-09-47210</t>
  </si>
  <si>
    <t>100-09-47211</t>
  </si>
  <si>
    <t>100-09-47220</t>
  </si>
  <si>
    <t>100-09-48020</t>
  </si>
  <si>
    <t>100-10-45030</t>
  </si>
  <si>
    <t>100-10-45900</t>
  </si>
  <si>
    <t>100-10-45901</t>
  </si>
  <si>
    <t>100-10-46010</t>
  </si>
  <si>
    <t>100-10-46020</t>
  </si>
  <si>
    <t>100-10-46030</t>
  </si>
  <si>
    <t>100-10-46900</t>
  </si>
  <si>
    <t>100-10-46902</t>
  </si>
  <si>
    <t>State Edu. Grant - Supplies</t>
  </si>
  <si>
    <t>100-10-46903</t>
  </si>
  <si>
    <t>GO Bond - Supplies</t>
  </si>
  <si>
    <t>100-10-46910</t>
  </si>
  <si>
    <t>100-10-48010</t>
  </si>
  <si>
    <t>100-10-48020</t>
  </si>
  <si>
    <t>100-10-48060</t>
  </si>
  <si>
    <t>C.O Library Acquisition</t>
  </si>
  <si>
    <t>100-10-48061</t>
  </si>
  <si>
    <t>C.O State Lib Grant Purchase</t>
  </si>
  <si>
    <t>100-10-48062</t>
  </si>
  <si>
    <t>C.O - StateLib Ed Grant Purchase</t>
  </si>
  <si>
    <t>100-10-48065</t>
  </si>
  <si>
    <t>Go Bond - Library Acquisition</t>
  </si>
  <si>
    <t>100-10-48066</t>
  </si>
  <si>
    <t>NM Comm. Foundation Grant</t>
  </si>
  <si>
    <t>100-11-44010</t>
  </si>
  <si>
    <t>100-11-44020</t>
  </si>
  <si>
    <t>100-11-44040</t>
  </si>
  <si>
    <t>100-11-44900</t>
  </si>
  <si>
    <t>Maintenance/Repair Well</t>
  </si>
  <si>
    <t>100-11-45030</t>
  </si>
  <si>
    <t>100-11-45900</t>
  </si>
  <si>
    <t>100-11-46010</t>
  </si>
  <si>
    <t>100-11-46020</t>
  </si>
  <si>
    <t>100-11-46030</t>
  </si>
  <si>
    <t>100-11-46900</t>
  </si>
  <si>
    <t>100-11-46999</t>
  </si>
  <si>
    <t>100-11-47060</t>
  </si>
  <si>
    <t>100-11-47070</t>
  </si>
  <si>
    <t>100-11-47120</t>
  </si>
  <si>
    <t>100-11-47150</t>
  </si>
  <si>
    <t>100-11-47160</t>
  </si>
  <si>
    <t>100-11-47210</t>
  </si>
  <si>
    <t>100-11-47211</t>
  </si>
  <si>
    <t>100-11-47220</t>
  </si>
  <si>
    <t>100-11-48010</t>
  </si>
  <si>
    <t>100-11-48011</t>
  </si>
  <si>
    <t>100-13-31200</t>
  </si>
  <si>
    <t>SFC Fire Protection</t>
  </si>
  <si>
    <t>100-13-45900</t>
  </si>
  <si>
    <t>100-14-31230</t>
  </si>
  <si>
    <t>100-14-47211</t>
  </si>
  <si>
    <t>399-15-37241</t>
  </si>
  <si>
    <t>399-15-14004</t>
  </si>
  <si>
    <t>Capital Proj.Basketball CT-Building</t>
  </si>
  <si>
    <t>399-15-21401</t>
  </si>
  <si>
    <t>Capital Proj. Sewer</t>
  </si>
  <si>
    <t>399-15-21603</t>
  </si>
  <si>
    <t>Infrastructure- Streets</t>
  </si>
  <si>
    <t>211-16-37130</t>
  </si>
  <si>
    <t>211-16-47211</t>
  </si>
  <si>
    <t>700-17-20200</t>
  </si>
  <si>
    <t>Cell Tower Verizon</t>
  </si>
  <si>
    <t>700-17-20201</t>
  </si>
  <si>
    <t>Cell Tower AT&amp;T</t>
  </si>
  <si>
    <t>700-17-45900</t>
  </si>
  <si>
    <t>700-17-45902</t>
  </si>
  <si>
    <t>Other Verizon</t>
  </si>
  <si>
    <t>700-17-45903</t>
  </si>
  <si>
    <t>Other AT&amp;T</t>
  </si>
  <si>
    <t>100-18-41020</t>
  </si>
  <si>
    <t>100-18-41050</t>
  </si>
  <si>
    <t>100-18-42010</t>
  </si>
  <si>
    <t>100-18-42020</t>
  </si>
  <si>
    <t>100-18-42030</t>
  </si>
  <si>
    <t>100-18-42050</t>
  </si>
  <si>
    <t>100-18-42060</t>
  </si>
  <si>
    <t>100-18-42070</t>
  </si>
  <si>
    <t>100-18-42080</t>
  </si>
  <si>
    <t>LEGISLATIVE</t>
  </si>
  <si>
    <t>FINANCE &amp; ADMIN</t>
  </si>
  <si>
    <t>JUDICIAL</t>
  </si>
  <si>
    <t>ANIMAL CONTROL</t>
  </si>
  <si>
    <t>PUBLIC SAFETY</t>
  </si>
  <si>
    <t>RECREATION</t>
  </si>
  <si>
    <t>MUNICIPAL STREETS</t>
  </si>
  <si>
    <t>COMMUNITY DEV</t>
  </si>
  <si>
    <t>LIBRARY</t>
  </si>
  <si>
    <t>COMMUNITY CENTER</t>
  </si>
  <si>
    <t>CAPITAL PROJECTS</t>
  </si>
  <si>
    <t>LAW ENFORCEMENT</t>
  </si>
  <si>
    <t>TOTAL</t>
  </si>
  <si>
    <t>Revenue Totals</t>
  </si>
  <si>
    <t>Revenue</t>
  </si>
  <si>
    <t>Total</t>
  </si>
  <si>
    <t>Non-payroll</t>
  </si>
  <si>
    <t>Junk</t>
  </si>
  <si>
    <t>Payroll</t>
  </si>
  <si>
    <t>Total Revenue</t>
  </si>
  <si>
    <t>Expense</t>
  </si>
  <si>
    <t>Revenue Total</t>
  </si>
  <si>
    <t>Expense Total</t>
  </si>
  <si>
    <t>Total Expense</t>
  </si>
  <si>
    <t>Town of Edgewood</t>
  </si>
  <si>
    <t>Operating Expenses</t>
  </si>
  <si>
    <t>Income</t>
  </si>
  <si>
    <t>Expense-Payroll</t>
  </si>
  <si>
    <t>Expense-Other</t>
  </si>
  <si>
    <t>Percent of Total</t>
  </si>
  <si>
    <t xml:space="preserve">    Totals</t>
  </si>
  <si>
    <t>Margin =</t>
  </si>
  <si>
    <t>FIRE</t>
  </si>
  <si>
    <t>FIRE-Santa Fe Co.</t>
  </si>
  <si>
    <t>Fire</t>
  </si>
  <si>
    <t>Infrastructure</t>
  </si>
  <si>
    <t>Police</t>
  </si>
  <si>
    <t>Other</t>
  </si>
  <si>
    <t>SEWER DEBT SERVICE</t>
  </si>
  <si>
    <t>2009 Budget</t>
  </si>
  <si>
    <t>eliminate</t>
  </si>
  <si>
    <t>capital</t>
  </si>
  <si>
    <t>CELL TOWER</t>
  </si>
  <si>
    <t>PUBLIC WORKS</t>
  </si>
  <si>
    <t>Sewer</t>
  </si>
  <si>
    <t>Infrastructure GRT, after sewer loan pmt</t>
  </si>
  <si>
    <t>Streets</t>
  </si>
  <si>
    <t>State Shared</t>
  </si>
  <si>
    <t>Muni balance</t>
  </si>
  <si>
    <t>see sewer &amp; streets</t>
  </si>
  <si>
    <t>see summary</t>
  </si>
  <si>
    <t>carrection fund</t>
  </si>
  <si>
    <t>interest income</t>
  </si>
  <si>
    <t>furniture</t>
  </si>
  <si>
    <t>State Police</t>
  </si>
  <si>
    <t>move to fin &amp; adm</t>
  </si>
  <si>
    <t>junk</t>
  </si>
  <si>
    <t>4500 per month</t>
  </si>
  <si>
    <t>County</t>
  </si>
  <si>
    <t>no election</t>
  </si>
  <si>
    <t>Torr co.</t>
  </si>
  <si>
    <t>special fund</t>
  </si>
  <si>
    <t>Employee</t>
  </si>
  <si>
    <t>Hourly pay rate</t>
  </si>
  <si>
    <t>Anaya, Rebecca R</t>
  </si>
  <si>
    <t>Cole, Dewayne E</t>
  </si>
  <si>
    <t xml:space="preserve">Garcia, Teodorita (Dora) </t>
  </si>
  <si>
    <t>Henninger, Norton, F</t>
  </si>
  <si>
    <t>Holden, Lester R</t>
  </si>
  <si>
    <t>Mahalick, Karen A</t>
  </si>
  <si>
    <t>Muller, Estefanie B</t>
  </si>
  <si>
    <t>Murphy, Victoria L</t>
  </si>
  <si>
    <t>Ring, Michael A</t>
  </si>
  <si>
    <t>Romero, Pete</t>
  </si>
  <si>
    <t>Schober, Wayne E</t>
  </si>
  <si>
    <t>Smith, Kathy M</t>
  </si>
  <si>
    <t>Sweat, Tracy A</t>
  </si>
  <si>
    <t>Williams, Stephen J</t>
  </si>
  <si>
    <t xml:space="preserve">Welch, Paul E </t>
  </si>
  <si>
    <t>Salary:  2843.20</t>
  </si>
  <si>
    <t>Parks &amp; Rec</t>
  </si>
  <si>
    <t>Finance &amp; Adm</t>
  </si>
  <si>
    <t>Planning</t>
  </si>
  <si>
    <t>Animal control</t>
  </si>
  <si>
    <t>Court / Planning</t>
  </si>
  <si>
    <t>Code Enforcement</t>
  </si>
  <si>
    <t>Stearley, Robert</t>
  </si>
  <si>
    <t>Legislative</t>
  </si>
  <si>
    <t>Unemp ins</t>
  </si>
  <si>
    <t>salary</t>
  </si>
  <si>
    <t>Imp Ins</t>
  </si>
  <si>
    <t>Raise</t>
  </si>
  <si>
    <t>Hours per yr</t>
  </si>
  <si>
    <t>Salary</t>
  </si>
  <si>
    <t>Payroll w/ benefits</t>
  </si>
  <si>
    <t>Payroll by fund</t>
  </si>
  <si>
    <t>Raise Package =</t>
  </si>
  <si>
    <t>White, William</t>
  </si>
  <si>
    <t>X</t>
  </si>
  <si>
    <t>Salaries-PT  YES</t>
  </si>
  <si>
    <t>OVERTIME</t>
  </si>
  <si>
    <t>COMMODITIES</t>
  </si>
  <si>
    <t>Evidence Supplies</t>
  </si>
  <si>
    <t>Citations/Forms</t>
  </si>
  <si>
    <t>Promotional Supplies</t>
  </si>
  <si>
    <t>Digital Recorders</t>
  </si>
  <si>
    <t>CONTRACTURAL SVC</t>
  </si>
  <si>
    <t>Copier Lease/Maint</t>
  </si>
  <si>
    <t>Telephone/Internet/Cell</t>
  </si>
  <si>
    <t>Dispatch Costs</t>
  </si>
  <si>
    <t>Dues &amp; Subscriptions</t>
  </si>
  <si>
    <t>Pyscolog / Medical</t>
  </si>
  <si>
    <t>Education / Training</t>
  </si>
  <si>
    <t>Travel</t>
  </si>
  <si>
    <t>Rent</t>
  </si>
  <si>
    <t>Prisoner Housing</t>
  </si>
  <si>
    <t>Vehicle M&amp;R</t>
  </si>
  <si>
    <t>Building M&amp;R</t>
  </si>
  <si>
    <t>Commun.  M&amp;R</t>
  </si>
  <si>
    <t>Software Licenses</t>
  </si>
  <si>
    <t>Advertising</t>
  </si>
  <si>
    <t>Dispatch Capital</t>
  </si>
  <si>
    <t>Salaries-Code Enforcement</t>
  </si>
  <si>
    <t>Municipal</t>
  </si>
  <si>
    <t xml:space="preserve">       PREDICTIONS</t>
  </si>
  <si>
    <t>Annual GRT =</t>
  </si>
  <si>
    <t>Tax Rate =</t>
  </si>
  <si>
    <t>Sales =</t>
  </si>
  <si>
    <t>Construction</t>
  </si>
  <si>
    <t>Retail</t>
  </si>
  <si>
    <t>Monthly</t>
  </si>
  <si>
    <t>GRT =</t>
  </si>
  <si>
    <t>Other Income =</t>
  </si>
  <si>
    <t>Gas</t>
  </si>
  <si>
    <t>Oil Changes</t>
  </si>
  <si>
    <t>Contractural Services</t>
  </si>
  <si>
    <t>Raise Pkg =</t>
  </si>
  <si>
    <t>Sewer System Budget</t>
  </si>
  <si>
    <t>Cost Estimate 3/14/2008</t>
  </si>
  <si>
    <t>Disposal System</t>
  </si>
  <si>
    <t>Collection System</t>
  </si>
  <si>
    <t xml:space="preserve">   Total</t>
  </si>
  <si>
    <t xml:space="preserve">Add margin </t>
  </si>
  <si>
    <t>Funding</t>
  </si>
  <si>
    <t>Federal E.D.</t>
  </si>
  <si>
    <t>NM Leg 2008</t>
  </si>
  <si>
    <t>From Reserves</t>
  </si>
  <si>
    <t>Loan for Sewer</t>
  </si>
  <si>
    <t>Loan Amount</t>
  </si>
  <si>
    <t>Loan @ 3% for 20 years</t>
  </si>
  <si>
    <t>Loan Payment</t>
  </si>
  <si>
    <r>
      <t xml:space="preserve">Wastewater facility - </t>
    </r>
    <r>
      <rPr>
        <b/>
        <sz val="10"/>
        <rFont val="Arial"/>
        <family val="2"/>
      </rPr>
      <t>FEDERAL FUNDING</t>
    </r>
  </si>
  <si>
    <t>NMED Fee</t>
  </si>
  <si>
    <t>Year</t>
  </si>
  <si>
    <t>Purpose</t>
  </si>
  <si>
    <t>Amount</t>
  </si>
  <si>
    <t>Expiration Date</t>
  </si>
  <si>
    <t>Extension</t>
  </si>
  <si>
    <t xml:space="preserve">Expend. To date </t>
  </si>
  <si>
    <t>Plan, design and construct a public safety building in Edgewood</t>
  </si>
  <si>
    <t>Plan, design and build infrastructure and construct a municipal building for Edgewood</t>
  </si>
  <si>
    <t>Plan, design and build infrastructure and construct a municipal building in Edgewood</t>
  </si>
  <si>
    <t>TOTAL State appropriations</t>
  </si>
  <si>
    <t>Recreation Fields</t>
  </si>
  <si>
    <t>Priority</t>
  </si>
  <si>
    <t>Project Title</t>
  </si>
  <si>
    <t>Category</t>
  </si>
  <si>
    <t>Wastewater</t>
  </si>
  <si>
    <t>Administrative Facilities</t>
  </si>
  <si>
    <t>Public Works Facility/Land Acquisition</t>
  </si>
  <si>
    <t>Parks</t>
  </si>
  <si>
    <t>Muni Complex-Recreation &amp; Community Center (w/ gymnasium)</t>
  </si>
  <si>
    <t>Visitor Center</t>
  </si>
  <si>
    <t>Animal Control</t>
  </si>
  <si>
    <t>Section 32</t>
  </si>
  <si>
    <t>Section 34</t>
  </si>
  <si>
    <t>Trailhead</t>
  </si>
  <si>
    <t>Trails</t>
  </si>
  <si>
    <t>Frost Rd</t>
  </si>
  <si>
    <t>Rds/Streets</t>
  </si>
  <si>
    <t>Water Truck</t>
  </si>
  <si>
    <t>Motor Grader</t>
  </si>
  <si>
    <t xml:space="preserve">Water Truck </t>
  </si>
  <si>
    <t>Cash Flow</t>
  </si>
  <si>
    <t>Beginning Cash Balance</t>
  </si>
  <si>
    <t>Margin in Operating Budget</t>
  </si>
  <si>
    <t>Ending Cash Balance</t>
  </si>
  <si>
    <t>2008-01</t>
  </si>
  <si>
    <t>FGRANT SGRANT FLOANTOWN</t>
  </si>
  <si>
    <t>2008-02</t>
  </si>
  <si>
    <t>Hiways/Roads/Streets/Bridges</t>
  </si>
  <si>
    <t>SGRANT LOCAL SLOAN FGRANT</t>
  </si>
  <si>
    <t>2008-03</t>
  </si>
  <si>
    <t>Regional Animal Shelter</t>
  </si>
  <si>
    <t>Public Safety Equipment/Bldgs</t>
  </si>
  <si>
    <t>LGRANT LFUNDS OTHER</t>
  </si>
  <si>
    <t>2008-04</t>
  </si>
  <si>
    <t>Section 16 Access Road</t>
  </si>
  <si>
    <t>FGRANT LGRANT LFUNDS OTHER</t>
  </si>
  <si>
    <t>2008-05</t>
  </si>
  <si>
    <t>Community Center/Library</t>
  </si>
  <si>
    <t>LOCAL SGRANT SLOAN FGRANT</t>
  </si>
  <si>
    <t>2008-06</t>
  </si>
  <si>
    <t>Playing Fields</t>
  </si>
  <si>
    <t>2008-07</t>
  </si>
  <si>
    <t>Section 32 Access</t>
  </si>
  <si>
    <t>2009-01</t>
  </si>
  <si>
    <t>Roads/Street Surface Upgrades</t>
  </si>
  <si>
    <t>2009-02</t>
  </si>
  <si>
    <t>Open Space Trails</t>
  </si>
  <si>
    <t>Public Parks (local)</t>
  </si>
  <si>
    <t>2009-03</t>
  </si>
  <si>
    <t xml:space="preserve">Right-of-Way </t>
  </si>
  <si>
    <t>2009-04</t>
  </si>
  <si>
    <t>Public Safety Building</t>
  </si>
  <si>
    <t>2009-05</t>
  </si>
  <si>
    <t>Recreation Pool/Recreation Center</t>
  </si>
  <si>
    <t>SGRANT FGRANT LGRANT OTHER</t>
  </si>
  <si>
    <t>TOTALs</t>
  </si>
  <si>
    <t>Multi-year Budget</t>
  </si>
  <si>
    <t>Major Construction</t>
  </si>
  <si>
    <t>Total Gross Sales</t>
  </si>
  <si>
    <t>Operating Budget</t>
  </si>
  <si>
    <t>Misc. Income</t>
  </si>
  <si>
    <t xml:space="preserve">   Total Income</t>
  </si>
  <si>
    <t>Recreation Center O &amp; M</t>
  </si>
  <si>
    <t xml:space="preserve">    Total Expense</t>
  </si>
  <si>
    <t>GRT Rate =</t>
  </si>
  <si>
    <t>pages 1-6 and p. 8-9</t>
  </si>
  <si>
    <t>page 7</t>
  </si>
  <si>
    <t>page 10</t>
  </si>
  <si>
    <t>page 11-12</t>
  </si>
  <si>
    <t>page  13-15</t>
  </si>
  <si>
    <t>page  16-17</t>
  </si>
  <si>
    <t>page 18-19</t>
  </si>
  <si>
    <t>page 20</t>
  </si>
  <si>
    <t>page 21</t>
  </si>
  <si>
    <t>page 22</t>
  </si>
  <si>
    <t>Location in Detailed Budget</t>
  </si>
  <si>
    <t>see page ii</t>
  </si>
  <si>
    <t>see page i</t>
  </si>
  <si>
    <t>Sewer Federal Reimb.</t>
  </si>
  <si>
    <t>Leg. Sewer State Reimb</t>
  </si>
  <si>
    <t>AMOUNT</t>
  </si>
  <si>
    <t>Subtotal</t>
  </si>
  <si>
    <t>Leg. Public Safety</t>
  </si>
  <si>
    <t>Leg. Rec. Fields</t>
  </si>
  <si>
    <t>Leg. Muni Bldg/infra</t>
  </si>
  <si>
    <t>Leg. Animal Shelter</t>
  </si>
  <si>
    <t>Recreation Fields O &amp; M</t>
  </si>
  <si>
    <t>Loan Proceeds</t>
  </si>
  <si>
    <t>Budget Input</t>
  </si>
  <si>
    <t>SEWER OPERATION SUBSIDY</t>
  </si>
  <si>
    <t>DATA FOR BUDGET SUM SPREADSHEET:</t>
  </si>
  <si>
    <t>Muni Bldg/infra</t>
  </si>
  <si>
    <t>Rec. Fields</t>
  </si>
  <si>
    <t>ANIMAL SHELTER O &amp; M</t>
  </si>
  <si>
    <t>GRT Income</t>
  </si>
  <si>
    <t>Payment of Wal-Mart Deposit to DOT</t>
  </si>
  <si>
    <t>Officer 1  SGT</t>
  </si>
  <si>
    <t>Officer 2</t>
  </si>
  <si>
    <t>Officer 3</t>
  </si>
  <si>
    <t>Officer 4</t>
  </si>
  <si>
    <t xml:space="preserve">   Number of Police Officers =</t>
  </si>
  <si>
    <t>Difference</t>
  </si>
  <si>
    <t>EVENTS</t>
  </si>
  <si>
    <t>PROGRAMS</t>
  </si>
  <si>
    <t>Other Subtotal</t>
  </si>
  <si>
    <t xml:space="preserve">* Proportional Costs:  Payroll, gas, oil, uniforms, training, ammunition </t>
  </si>
  <si>
    <t>Officers</t>
  </si>
  <si>
    <t>LAW ENFORCEMENT-Equip.</t>
  </si>
  <si>
    <t>ft</t>
  </si>
  <si>
    <t>Pro-rated share</t>
  </si>
  <si>
    <t>Rented Building on Old 66</t>
  </si>
  <si>
    <t>length</t>
  </si>
  <si>
    <t>width</t>
  </si>
  <si>
    <t xml:space="preserve">  Payroll, including 7% overtime</t>
  </si>
  <si>
    <t>Estancia Valley Economic Development Ass (EVEDA)</t>
  </si>
  <si>
    <t>Chamber of Commerce 4th of July</t>
  </si>
  <si>
    <t>EBRA</t>
  </si>
  <si>
    <t>Section 32 Grazing Lease</t>
  </si>
  <si>
    <t>Section 32 Commercial Lease</t>
  </si>
  <si>
    <t>Section 16 lease</t>
  </si>
  <si>
    <t>multiplied times payroll</t>
  </si>
  <si>
    <t>multiplied times cost</t>
  </si>
  <si>
    <t>Vince Yermal S-resources</t>
  </si>
  <si>
    <t>roads</t>
  </si>
  <si>
    <t>sewer</t>
  </si>
  <si>
    <t>police</t>
  </si>
  <si>
    <t>animal control</t>
  </si>
  <si>
    <t>recreation</t>
  </si>
  <si>
    <t>staff</t>
  </si>
  <si>
    <t>hours per year</t>
  </si>
  <si>
    <t>hours per shift</t>
  </si>
  <si>
    <t>gal per 8 hour shift</t>
  </si>
  <si>
    <t>cost per gallon</t>
  </si>
  <si>
    <t>no. of officers</t>
  </si>
  <si>
    <t>shifts per officer</t>
  </si>
  <si>
    <t>cost per change</t>
  </si>
  <si>
    <t>officers</t>
  </si>
  <si>
    <t>changes per officer per year</t>
  </si>
  <si>
    <t>TOTAL =</t>
  </si>
  <si>
    <t>Library Support</t>
  </si>
  <si>
    <t xml:space="preserve">  added to EVENTS</t>
  </si>
  <si>
    <t>Library Reduction</t>
  </si>
  <si>
    <t xml:space="preserve"> added to Library</t>
  </si>
  <si>
    <t xml:space="preserve"> added to revenue</t>
  </si>
  <si>
    <t xml:space="preserve">  Legislative</t>
  </si>
  <si>
    <t xml:space="preserve">  Code Enforcement</t>
  </si>
  <si>
    <t xml:space="preserve">  Animal Control / Shelter</t>
  </si>
  <si>
    <t xml:space="preserve">  Library</t>
  </si>
  <si>
    <t xml:space="preserve">  Recreation</t>
  </si>
  <si>
    <t>Overtime (for weekend, snow, etc.)</t>
  </si>
  <si>
    <t>2nd animal control officer  (zero to 1.0)</t>
  </si>
  <si>
    <t xml:space="preserve"> Cole Salary</t>
  </si>
  <si>
    <t xml:space="preserve">  Roads / Streets</t>
  </si>
  <si>
    <t>Budget Margin</t>
  </si>
  <si>
    <t>add members to crew  (zero to whatever)</t>
  </si>
  <si>
    <t>Finance &amp; Administration</t>
  </si>
  <si>
    <t>Police, Etc.</t>
  </si>
  <si>
    <t>Judicial</t>
  </si>
  <si>
    <t>Attorney Fees</t>
  </si>
  <si>
    <t xml:space="preserve">  ATTORNEY FEES</t>
  </si>
  <si>
    <t>Community Development</t>
  </si>
  <si>
    <t>GRANT</t>
  </si>
  <si>
    <r>
      <t xml:space="preserve">Wastewater facility - </t>
    </r>
    <r>
      <rPr>
        <b/>
        <sz val="12"/>
        <rFont val="Arial"/>
        <family val="2"/>
      </rPr>
      <t>State Legislature</t>
    </r>
  </si>
  <si>
    <t>06-1213</t>
  </si>
  <si>
    <t>06-0212</t>
  </si>
  <si>
    <t>Wastewater treatment system STB-050107</t>
  </si>
  <si>
    <t>05-0107-STB</t>
  </si>
  <si>
    <t>No agreement at this time</t>
  </si>
  <si>
    <t xml:space="preserve">Plan, design and construct a wastewater collection and disposal system in Edgewood in Santa Fe County </t>
  </si>
  <si>
    <t>04-0215-STB</t>
  </si>
  <si>
    <t>Design and construct improvements to the wastewater collection, treatment and disposal system  in Edgewoo in Santa Fe County</t>
  </si>
  <si>
    <t>04-1529-STB</t>
  </si>
  <si>
    <t>Plan, design and construct a wastewater syewer system in Edgewood</t>
  </si>
  <si>
    <t>04-1531-STB</t>
  </si>
  <si>
    <t>04-2113-CP</t>
  </si>
  <si>
    <t>04-2138-CP</t>
  </si>
  <si>
    <t xml:space="preserve">   Plan, design and construct a wastewater collection and treatment system in Edgewood</t>
  </si>
  <si>
    <t>02-0159-STB</t>
  </si>
  <si>
    <r>
      <t xml:space="preserve">Wastewater facility - </t>
    </r>
    <r>
      <rPr>
        <b/>
        <sz val="12"/>
        <rFont val="Arial"/>
        <family val="2"/>
      </rPr>
      <t>FEDERAL FUNDING</t>
    </r>
  </si>
  <si>
    <t xml:space="preserve">      Cost for processing</t>
  </si>
  <si>
    <t>Local Funding</t>
  </si>
  <si>
    <t>Grand Total Funding Available</t>
  </si>
  <si>
    <t>Total Funds</t>
  </si>
  <si>
    <t>Cost</t>
  </si>
  <si>
    <t>Total Cost</t>
  </si>
  <si>
    <t>Funding Needed to Complete</t>
  </si>
  <si>
    <t>Previous Cost =</t>
  </si>
  <si>
    <t>Total Cost=</t>
  </si>
  <si>
    <t>Santa Fe County YES Funding</t>
  </si>
  <si>
    <t>full salary</t>
  </si>
  <si>
    <t xml:space="preserve">  Part Time Officer(s)</t>
  </si>
  <si>
    <t>Rate     $19-$25</t>
  </si>
  <si>
    <t>Hours per wk for 52 wks</t>
  </si>
  <si>
    <t xml:space="preserve">      Part Time, Retired Officer(s)</t>
  </si>
  <si>
    <t xml:space="preserve">  Number of regular officers =</t>
  </si>
  <si>
    <t>Number of Officers =</t>
  </si>
  <si>
    <t>Salary Cost</t>
  </si>
  <si>
    <t>Code Enforcement vehicle</t>
  </si>
  <si>
    <t>Conference, incl mileage</t>
  </si>
  <si>
    <t xml:space="preserve"> $12,000 + $900/mon</t>
  </si>
  <si>
    <t>Retiree Health Care</t>
  </si>
  <si>
    <t xml:space="preserve"> municipal league membership</t>
  </si>
  <si>
    <t xml:space="preserve"> Janatorial, pest control, furnace, etc.</t>
  </si>
  <si>
    <t xml:space="preserve"> bank chgs, refunds, reimb,</t>
  </si>
  <si>
    <t xml:space="preserve"> added to maintenance above</t>
  </si>
  <si>
    <t>100-03-47211</t>
  </si>
  <si>
    <t>Other operating costs</t>
  </si>
  <si>
    <t>4-23-08 Budget</t>
  </si>
  <si>
    <t>adm office of the court, judicial ed center (JEC)</t>
  </si>
  <si>
    <t xml:space="preserve"> software support</t>
  </si>
  <si>
    <t>vet costs.</t>
  </si>
  <si>
    <t>100-04-46020</t>
  </si>
  <si>
    <t>Non-capital furn/fixt/equip</t>
  </si>
  <si>
    <t>Zoo animal, temp help</t>
  </si>
  <si>
    <t>radio, tarps, Kennel supplies</t>
  </si>
  <si>
    <t xml:space="preserve">  grant, reimbursed</t>
  </si>
  <si>
    <t>dog kennels</t>
  </si>
  <si>
    <t xml:space="preserve"> gas &amp; oil</t>
  </si>
  <si>
    <t>800 + 300 + 320 ins +…</t>
  </si>
  <si>
    <t>misc, water, utilities, cell phones, signs, etc.</t>
  </si>
  <si>
    <t>100-09-43030</t>
  </si>
  <si>
    <t>gas &amp; oil</t>
  </si>
  <si>
    <t>Muicipal league dues</t>
  </si>
  <si>
    <t>Wayne's phone</t>
  </si>
  <si>
    <t>Dennis Engineering</t>
  </si>
  <si>
    <t>Contractual Services</t>
  </si>
  <si>
    <t>COG, addnl mapping software, GIS</t>
  </si>
  <si>
    <t xml:space="preserve"> dust 50k, 21.25k Coop</t>
  </si>
  <si>
    <t>Publications, advertizing</t>
  </si>
  <si>
    <t xml:space="preserve"> see Fin &amp; adm</t>
  </si>
  <si>
    <t xml:space="preserve">  Advertizing for mtgs, animal control, etc.</t>
  </si>
  <si>
    <t>USTI training-2ea 2 day visits + retiree health care consultant</t>
  </si>
  <si>
    <t xml:space="preserve"> janatorial, porta potty, trach bin, towels, tele</t>
  </si>
  <si>
    <t>renovation of court</t>
  </si>
  <si>
    <t>217-07-47080</t>
  </si>
  <si>
    <t>Printing &amp; publication</t>
  </si>
  <si>
    <t xml:space="preserve">Cost w/ Car, etc </t>
  </si>
  <si>
    <t>Coltpac Trailhead O &amp; M</t>
  </si>
  <si>
    <t>Section 34 O &amp; M</t>
  </si>
  <si>
    <t>Section 32 O &amp; M</t>
  </si>
  <si>
    <t>Sewer Enterprise Fund</t>
  </si>
  <si>
    <t>Revenue from Rates</t>
  </si>
  <si>
    <t>Animal Shelter Land Purchase</t>
  </si>
  <si>
    <t>Operation &amp; Maintenance</t>
  </si>
  <si>
    <t xml:space="preserve">      Edgewood Plant</t>
  </si>
  <si>
    <t>Margin in Sewer Enterprise Fund</t>
  </si>
  <si>
    <t>Margin in Capital Purchases</t>
  </si>
  <si>
    <t>Coltpac Trailhead</t>
  </si>
  <si>
    <t>Correction Fees Fund</t>
  </si>
  <si>
    <t>Cell Tower Fund</t>
  </si>
  <si>
    <t>Campbell Ranch PID ESCROW</t>
  </si>
  <si>
    <t>Fire Impact Fees</t>
  </si>
  <si>
    <t>Fire GRT Fund</t>
  </si>
  <si>
    <t>Reserves</t>
  </si>
  <si>
    <t xml:space="preserve">  Excess Reserves</t>
  </si>
  <si>
    <t>Wastewater Collection Lines</t>
  </si>
  <si>
    <t>Previous</t>
  </si>
  <si>
    <t>Municipal Building</t>
  </si>
  <si>
    <t xml:space="preserve">      Wal-Mart Package Plant</t>
  </si>
  <si>
    <t>When Wal-Mart revenue comes in,  perhaps some suspended program and/or reduction-in-force positions can be added back.</t>
  </si>
  <si>
    <t>Drug Awareness Program-State Police</t>
  </si>
  <si>
    <t>Edgewood Cost for YES</t>
  </si>
  <si>
    <t xml:space="preserve">S.F. County pays the rest = </t>
  </si>
  <si>
    <t>Police "Funds</t>
  </si>
  <si>
    <t>Computers for council</t>
  </si>
  <si>
    <t>Expenses</t>
  </si>
  <si>
    <t>5-10-08 Budget</t>
  </si>
  <si>
    <t>5-12-08 Budget</t>
  </si>
  <si>
    <t xml:space="preserve">  Net Cost</t>
  </si>
  <si>
    <t xml:space="preserve">  Subtotal</t>
  </si>
  <si>
    <t>Paving Plan</t>
  </si>
  <si>
    <t>Dust Abatement</t>
  </si>
  <si>
    <t>Williams Ranch Rd</t>
  </si>
  <si>
    <t>miles</t>
  </si>
  <si>
    <t>Entrada Del Norte</t>
  </si>
  <si>
    <t>Moriarty Rd</t>
  </si>
  <si>
    <t>2008 MAP</t>
  </si>
  <si>
    <t>2008 Coop</t>
  </si>
  <si>
    <t>Town Paving FY 09-10</t>
  </si>
  <si>
    <t>2009 MAP</t>
  </si>
  <si>
    <t>applied Dec 07, awarded July 2008</t>
  </si>
  <si>
    <t>Town Coop FY 09-10</t>
  </si>
  <si>
    <t>applied Dec 08, awarded July 2009</t>
  </si>
  <si>
    <t>2009 Coop</t>
  </si>
  <si>
    <t>2010 MAP</t>
  </si>
  <si>
    <t>2010 Coop</t>
  </si>
  <si>
    <t>applied Dec 09, awarded July 2010</t>
  </si>
  <si>
    <t>Town Paving FY 10-11</t>
  </si>
  <si>
    <t>FY 08-09</t>
  </si>
  <si>
    <t>FY 09-10</t>
  </si>
  <si>
    <t>FY 10-11</t>
  </si>
  <si>
    <t>FY 11-12</t>
  </si>
  <si>
    <t>FY 12-13</t>
  </si>
  <si>
    <t>Town Coop FY 10-11</t>
  </si>
  <si>
    <t>Federal Money</t>
  </si>
  <si>
    <t>State Legislative Money</t>
  </si>
  <si>
    <t>Williams Ranch Rd  1.3 miles</t>
  </si>
  <si>
    <t>Hwy 333 to Church</t>
  </si>
  <si>
    <t>Hwy 333 to Walker</t>
  </si>
  <si>
    <t>Walker</t>
  </si>
  <si>
    <t>Entrada Del Norte to Hwy 344</t>
  </si>
  <si>
    <t>Church Rd</t>
  </si>
  <si>
    <t>Williams Ranch to Quail</t>
  </si>
  <si>
    <t>Hwy 344 to Horton</t>
  </si>
  <si>
    <t>Hwy 344 to Duke</t>
  </si>
  <si>
    <t>Duke</t>
  </si>
  <si>
    <t>Moriarty Rd to W. Willard</t>
  </si>
  <si>
    <t>W. Willard</t>
  </si>
  <si>
    <t>Duke to Steeplechase</t>
  </si>
  <si>
    <t>Steeplechase</t>
  </si>
  <si>
    <t>W. Willard to Windmill</t>
  </si>
  <si>
    <t>Loop 1</t>
  </si>
  <si>
    <t>Loop 2</t>
  </si>
  <si>
    <t>Loop 3</t>
  </si>
  <si>
    <t>Horton</t>
  </si>
  <si>
    <t>Hill Ranch Rd to Dinkle</t>
  </si>
  <si>
    <t>Loop 4</t>
  </si>
  <si>
    <t>MAP &amp; Coop Paving Plan</t>
  </si>
  <si>
    <t>LOOP 1</t>
  </si>
  <si>
    <t>LOOP 2</t>
  </si>
  <si>
    <t>Dinkle to 344</t>
  </si>
  <si>
    <t>lobby July 08-Feb 09</t>
  </si>
  <si>
    <t>lobby July 08-Jan 09</t>
  </si>
  <si>
    <t>applied Dec 10, awarded July 2011</t>
  </si>
  <si>
    <t>applied Dec 11, awarded July 2012</t>
  </si>
  <si>
    <t>2011 MAP</t>
  </si>
  <si>
    <t>2011 Coop</t>
  </si>
  <si>
    <t>2012 MAP</t>
  </si>
  <si>
    <t>2012 Coop</t>
  </si>
  <si>
    <t>Town Paving FY 11-12</t>
  </si>
  <si>
    <t>Town Coop FY 11-12</t>
  </si>
  <si>
    <t>Town Paving FY 12-13</t>
  </si>
  <si>
    <t>Town Coop FY 12-13</t>
  </si>
  <si>
    <t>Rainbow Rd</t>
  </si>
  <si>
    <t>Dinkle to Homestead</t>
  </si>
  <si>
    <t>Dinkle to Hwy 344</t>
  </si>
  <si>
    <t>Hwy 344(7) to Hwy 333</t>
  </si>
  <si>
    <t>Hwy 344 to Hwy 333</t>
  </si>
  <si>
    <t>Hwy 344(7) to Windmill</t>
  </si>
  <si>
    <t>Hwy 344 to Hwy 14</t>
  </si>
  <si>
    <t>sq ft</t>
  </si>
  <si>
    <t>Rental Cost</t>
  </si>
  <si>
    <t>Electric</t>
  </si>
  <si>
    <t xml:space="preserve">Water </t>
  </si>
  <si>
    <t>Propane Dec-May</t>
  </si>
  <si>
    <t>Municipal police</t>
  </si>
  <si>
    <t>Santa Fe County</t>
  </si>
  <si>
    <t>Chamber of Commerce</t>
  </si>
  <si>
    <t>Building Size</t>
  </si>
  <si>
    <t>Sub-Total</t>
  </si>
  <si>
    <t xml:space="preserve">Pro-Rated Cost  </t>
  </si>
  <si>
    <t>Current Lease</t>
  </si>
  <si>
    <t>conference Rm</t>
  </si>
  <si>
    <t>Conf Rm</t>
  </si>
  <si>
    <t>Wall Offset</t>
  </si>
  <si>
    <t>Dwg size (cm)</t>
  </si>
  <si>
    <t xml:space="preserve"> cm</t>
  </si>
  <si>
    <t xml:space="preserve"> sq cm</t>
  </si>
  <si>
    <t>length (cm)</t>
  </si>
  <si>
    <t>width (cm)</t>
  </si>
  <si>
    <t>area (sq cm)</t>
  </si>
  <si>
    <t>Pro-rated Size of Offices</t>
  </si>
  <si>
    <t>Area (sq ft)</t>
  </si>
  <si>
    <t>area (sq cm</t>
  </si>
  <si>
    <t>percentage</t>
  </si>
  <si>
    <t>pavement Rehabilitation or paving</t>
  </si>
  <si>
    <t xml:space="preserve"> Overall</t>
  </si>
  <si>
    <t>Square H Road</t>
  </si>
  <si>
    <t xml:space="preserve">    Funding =</t>
  </si>
  <si>
    <t xml:space="preserve">    Project Cost =</t>
  </si>
  <si>
    <t>Net Cost =</t>
  </si>
  <si>
    <t>Net Cost</t>
  </si>
  <si>
    <t>MAP/Coop Paving</t>
  </si>
  <si>
    <t>Legislature</t>
  </si>
  <si>
    <t>344 to Horton</t>
  </si>
  <si>
    <t>Highway 7-HWY 333 to Windmill  1.33 mi</t>
  </si>
  <si>
    <t>Hill Ranch-Horton to 344  2 mi</t>
  </si>
  <si>
    <t>Total Project Cost</t>
  </si>
  <si>
    <t>Miles of Road</t>
  </si>
  <si>
    <t>Church Road  1.0 mile + culvert</t>
  </si>
  <si>
    <t>Square H-Hwy 344 to Horton 1.2 mi</t>
  </si>
  <si>
    <t>All with trails ?</t>
  </si>
  <si>
    <t>Net</t>
  </si>
  <si>
    <t>miles subtotal</t>
  </si>
  <si>
    <t>YEAR</t>
  </si>
  <si>
    <t xml:space="preserve">  What Road?</t>
  </si>
  <si>
    <t>$31,250 for MAP matching cost for $125,000</t>
  </si>
  <si>
    <t>Paving (MAP $31,250 +?)</t>
  </si>
  <si>
    <t>Paving  (Coop match)</t>
  </si>
  <si>
    <t>Net Cost of Roads</t>
  </si>
  <si>
    <t xml:space="preserve">    Revenue for various projects</t>
  </si>
  <si>
    <t>Leg. Library</t>
  </si>
  <si>
    <t xml:space="preserve">    Cost for various projects</t>
  </si>
  <si>
    <t>Frost Road-New Bridge</t>
  </si>
  <si>
    <t>Total Program</t>
  </si>
  <si>
    <t>SPECIAL EVENTS Change</t>
  </si>
  <si>
    <t xml:space="preserve">Program Director </t>
  </si>
  <si>
    <t xml:space="preserve">checksums </t>
  </si>
  <si>
    <t>5/10/08 margin</t>
  </si>
  <si>
    <t>drug awareness program</t>
  </si>
  <si>
    <t>Kids Fair</t>
  </si>
  <si>
    <t>Paving-Coop match</t>
  </si>
  <si>
    <t>Paving-MAP match</t>
  </si>
  <si>
    <t>street dept redundancy</t>
  </si>
  <si>
    <t>Changes since 5/10/2008</t>
  </si>
  <si>
    <t>street lights for Old 66</t>
  </si>
  <si>
    <t>new traffic signal for Old 66</t>
  </si>
  <si>
    <t>For Town Hall, only</t>
  </si>
  <si>
    <t>utilities for police building</t>
  </si>
  <si>
    <r>
      <t xml:space="preserve">          S.F. County needs to pay $</t>
    </r>
    <r>
      <rPr>
        <b/>
        <u val="single"/>
        <sz val="10"/>
        <color indexed="8"/>
        <rFont val="Arial"/>
        <family val="2"/>
      </rPr>
      <t>2,100 more.</t>
    </r>
  </si>
  <si>
    <t xml:space="preserve">          Utilities are in the Police budget</t>
  </si>
  <si>
    <t>Error in spreadsheet introduced on Friday night, 5/9</t>
  </si>
  <si>
    <t>Minimum Required by State:  1/12 of Operating Expenses</t>
  </si>
  <si>
    <t>library/community center</t>
  </si>
  <si>
    <t>Public Works Building</t>
  </si>
  <si>
    <t>Church</t>
  </si>
  <si>
    <t>Dinkle West</t>
  </si>
  <si>
    <t>Hill Ranch Rd West</t>
  </si>
  <si>
    <t>Hwy 333 to county line</t>
  </si>
  <si>
    <t>V-Hill</t>
  </si>
  <si>
    <t>Paradise Rd</t>
  </si>
  <si>
    <t>Skyline to county line road</t>
  </si>
  <si>
    <t>Maintenance / Grounds</t>
  </si>
  <si>
    <t>Gravel/Culverts, etc.</t>
  </si>
  <si>
    <t>feet</t>
  </si>
  <si>
    <t>cost</t>
  </si>
  <si>
    <t>2002 council choice</t>
  </si>
  <si>
    <t xml:space="preserve">  22 ft road width</t>
  </si>
  <si>
    <t>cost per mile for gravel</t>
  </si>
  <si>
    <t>Co Rd 13</t>
  </si>
  <si>
    <t>Venus</t>
  </si>
  <si>
    <t>Horton Rd from Frost to Nugent</t>
  </si>
  <si>
    <t>Madole</t>
  </si>
  <si>
    <t>Street/Sidewalk Sweeping Machine</t>
  </si>
  <si>
    <t>Other miscellaneous roads</t>
  </si>
  <si>
    <t>Fog Seal</t>
  </si>
  <si>
    <t>McCall</t>
  </si>
  <si>
    <t>Hwy 7</t>
  </si>
  <si>
    <t>Windmill</t>
  </si>
  <si>
    <t>Striping incl sweeping</t>
  </si>
  <si>
    <t>Gravel/resurfacing</t>
  </si>
  <si>
    <t xml:space="preserve">   Immediate Needs:</t>
  </si>
  <si>
    <t xml:space="preserve">  every 1.5 years</t>
  </si>
  <si>
    <t>Road Maintenance</t>
  </si>
  <si>
    <t>Miscellaneous Costs</t>
  </si>
  <si>
    <t>cost per foot</t>
  </si>
  <si>
    <t>Dinkle East 16,262 ft</t>
  </si>
  <si>
    <t>Windmill Rd 3,150 ft</t>
  </si>
  <si>
    <t>Venus, West 1275 ft</t>
  </si>
  <si>
    <t>Quial Trail 6,030</t>
  </si>
  <si>
    <t>Church, East 4,200 ft</t>
  </si>
  <si>
    <t>no loan pmt req'd</t>
  </si>
  <si>
    <t>Total =</t>
  </si>
  <si>
    <t xml:space="preserve"> save on lease of land and office trailer</t>
  </si>
  <si>
    <t>Insurance on sewer bldg</t>
  </si>
  <si>
    <t>Don't use our sewer until 2010</t>
  </si>
  <si>
    <t>Note: Old 66 building lease and lease receipts are in Finance &amp; Administration</t>
  </si>
  <si>
    <t xml:space="preserve">          Chamber of Commerce space (including utilities) is costing us $11,657.</t>
  </si>
  <si>
    <t>insure the sewer plant</t>
  </si>
  <si>
    <t xml:space="preserve"> NM Self-Insurers Fund, incl sewer</t>
  </si>
  <si>
    <t>Capital Budget (from bank account)</t>
  </si>
  <si>
    <t xml:space="preserve">    Street Sweeper</t>
  </si>
  <si>
    <t xml:space="preserve">    Payment of Sewer Plant Electric Bill in Enterprise Fund</t>
  </si>
  <si>
    <t xml:space="preserve">    Frost Road MAP &amp; Coop Project</t>
  </si>
  <si>
    <t>Cost w/ Car, etc no O.T.@$20</t>
  </si>
  <si>
    <t>Move Road dept from Calkins land to Sewer land</t>
  </si>
  <si>
    <t xml:space="preserve">  and provides some presence there.</t>
  </si>
  <si>
    <t>Road Items taken from op. budget</t>
  </si>
  <si>
    <t>Reduction of Events Budget</t>
  </si>
  <si>
    <t xml:space="preserve"> without Dust Abatement</t>
  </si>
  <si>
    <t xml:space="preserve">  Cost</t>
  </si>
  <si>
    <t>for Dust Abatement</t>
  </si>
  <si>
    <t>MAP Match</t>
  </si>
  <si>
    <t>Coop Match</t>
  </si>
  <si>
    <t>Road Items taken from operating budget</t>
  </si>
  <si>
    <t>P &amp; R Payroll</t>
  </si>
  <si>
    <t>5-14-08 margin</t>
  </si>
  <si>
    <t xml:space="preserve"> legislative appropriations</t>
  </si>
  <si>
    <t>Town of Edgewood, 2003, lines under I-40</t>
  </si>
  <si>
    <t>Town oif Edgewood, 2007, lines under Plaza Loop</t>
  </si>
  <si>
    <t>Funding Summary</t>
  </si>
  <si>
    <t>Federal</t>
  </si>
  <si>
    <t>State</t>
  </si>
  <si>
    <t>Town</t>
  </si>
  <si>
    <t>Cost To Finish</t>
  </si>
  <si>
    <t>Cost to Finish</t>
  </si>
  <si>
    <t>Population</t>
  </si>
  <si>
    <t>Likely number of residents</t>
  </si>
  <si>
    <t xml:space="preserve">2008 registered voters = </t>
  </si>
  <si>
    <t xml:space="preserve">               times 2:</t>
  </si>
  <si>
    <t>Edgewood</t>
  </si>
  <si>
    <t>Greater Edgewood</t>
  </si>
  <si>
    <t>Registered Voters</t>
  </si>
  <si>
    <t>multi-plier</t>
  </si>
  <si>
    <t>Probable Population</t>
  </si>
  <si>
    <t>Census</t>
  </si>
  <si>
    <t>growth rate</t>
  </si>
  <si>
    <t>Size:</t>
  </si>
  <si>
    <t>area:</t>
  </si>
  <si>
    <t>45 square miles</t>
  </si>
  <si>
    <t>Based on MRCOG advice</t>
  </si>
  <si>
    <t>Sales Increase</t>
  </si>
  <si>
    <t>Sales increase over previous year</t>
  </si>
  <si>
    <t>Sales of previous year (w/ normal const.)</t>
  </si>
  <si>
    <t>Town Pays</t>
  </si>
  <si>
    <t>Note: $5,000 of this $15,000 comes from the Tourism  Grant (see above)</t>
  </si>
  <si>
    <t xml:space="preserve">  was $500 on 5/12</t>
  </si>
  <si>
    <t>Previous =</t>
  </si>
  <si>
    <t>Parks &amp; Recreation &amp; EBRA</t>
  </si>
  <si>
    <t>using in checksum =</t>
  </si>
  <si>
    <t>GONE</t>
  </si>
  <si>
    <t>Buy-in for Retiree's health plan</t>
  </si>
  <si>
    <t>$750,000 for Wal-Mart Portion</t>
  </si>
  <si>
    <t>Hwy 333/344 by DOT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</si>
</sst>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&quot;$&quot;#,##0"/>
    <numFmt numFmtId="166" formatCode="&quot;$&quot;#,##0.00"/>
    <numFmt numFmtId="167" formatCode="0.0%"/>
    <numFmt numFmtId="168" formatCode="mm/dd/yy;@"/>
    <numFmt numFmtId="169" formatCode="[$-409]mmmm\ d\,\ yyyy;@"/>
    <numFmt numFmtId="170" formatCode="mmmm\-yy"/>
    <numFmt numFmtId="171" formatCode="m/d/yy;@"/>
    <numFmt numFmtId="172" formatCode="#,##0.00;\-#,##0.00"/>
    <numFmt numFmtId="173" formatCode="[$-409]dddd\,\ mmmm\ dd\,\ yyyy"/>
    <numFmt numFmtId="174" formatCode="[$-409]d\-mmm\-yy;@"/>
    <numFmt numFmtId="175" formatCode="[$-409]mmmm\-yy;@"/>
    <numFmt numFmtId="176" formatCode="#,##0.0"/>
    <numFmt numFmtId="177" formatCode="0.000%"/>
    <numFmt numFmtId="178" formatCode="0.0000%"/>
    <numFmt numFmtId="179" formatCode="#,##0.0_);\(#,##0.0\)"/>
    <numFmt numFmtId="180" formatCode="#,##0.000"/>
    <numFmt numFmtId="181" formatCode="&quot;$&quot;#,##0.000_);\(&quot;$&quot;#,##0.000\)"/>
    <numFmt numFmtId="182" formatCode="&quot;$&quot;#,##0.000"/>
    <numFmt numFmtId="183" formatCode="0.0"/>
  </numFmts>
  <fonts count="89">
    <font>
      <sz val="10"/>
      <color indexed="8"/>
      <name val="Arial"/>
      <family val="0"/>
    </font>
    <font>
      <i/>
      <sz val="8"/>
      <color indexed="8"/>
      <name val="Arial"/>
      <family val="0"/>
    </font>
    <font>
      <i/>
      <sz val="12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sz val="10"/>
      <color indexed="10"/>
      <name val="Arial"/>
      <family val="0"/>
    </font>
    <font>
      <sz val="8"/>
      <color indexed="10"/>
      <name val="Arial"/>
      <family val="0"/>
    </font>
    <font>
      <b/>
      <sz val="14"/>
      <color indexed="8"/>
      <name val="Arial"/>
      <family val="2"/>
    </font>
    <font>
      <u val="single"/>
      <sz val="10"/>
      <color indexed="8"/>
      <name val="Arial"/>
      <family val="0"/>
    </font>
    <font>
      <b/>
      <u val="single"/>
      <sz val="8"/>
      <color indexed="8"/>
      <name val="Arial"/>
      <family val="2"/>
    </font>
    <font>
      <b/>
      <sz val="8"/>
      <color indexed="10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4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u val="single"/>
      <sz val="12"/>
      <color indexed="8"/>
      <name val="Arial"/>
      <family val="0"/>
    </font>
    <font>
      <u val="single"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sz val="11"/>
      <color indexed="8"/>
      <name val="Arial"/>
      <family val="2"/>
    </font>
    <font>
      <b/>
      <u val="single"/>
      <sz val="8"/>
      <color indexed="10"/>
      <name val="Arial"/>
      <family val="2"/>
    </font>
    <font>
      <b/>
      <sz val="8"/>
      <name val="Albertus Extra Bold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u val="single"/>
      <sz val="8"/>
      <color indexed="12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36"/>
      <name val="Arial"/>
      <family val="0"/>
    </font>
    <font>
      <sz val="14"/>
      <color indexed="8"/>
      <name val="Arial"/>
      <family val="0"/>
    </font>
    <font>
      <b/>
      <sz val="8"/>
      <color indexed="20"/>
      <name val="Arial"/>
      <family val="2"/>
    </font>
    <font>
      <b/>
      <u val="single"/>
      <sz val="8"/>
      <color indexed="20"/>
      <name val="Arial"/>
      <family val="2"/>
    </font>
    <font>
      <b/>
      <sz val="10"/>
      <color indexed="20"/>
      <name val="Arial"/>
      <family val="2"/>
    </font>
    <font>
      <b/>
      <sz val="14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3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689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/>
    </xf>
    <xf numFmtId="165" fontId="5" fillId="0" borderId="0" xfId="0" applyNumberFormat="1" applyFont="1" applyFill="1" applyAlignment="1">
      <alignment horizontal="right"/>
    </xf>
    <xf numFmtId="4" fontId="5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49" fontId="8" fillId="0" borderId="0" xfId="0" applyNumberFormat="1" applyFont="1" applyAlignment="1">
      <alignment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3" fontId="10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 horizontal="right" vertic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44" fontId="0" fillId="0" borderId="0" xfId="44" applyFont="1" applyAlignment="1">
      <alignment horizontal="right"/>
    </xf>
    <xf numFmtId="166" fontId="0" fillId="0" borderId="0" xfId="0" applyNumberFormat="1" applyAlignment="1">
      <alignment/>
    </xf>
    <xf numFmtId="0" fontId="10" fillId="0" borderId="0" xfId="0" applyFont="1" applyAlignment="1">
      <alignment/>
    </xf>
    <xf numFmtId="7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4" fontId="0" fillId="0" borderId="0" xfId="0" applyNumberFormat="1" applyAlignment="1">
      <alignment/>
    </xf>
    <xf numFmtId="0" fontId="9" fillId="0" borderId="11" xfId="0" applyFont="1" applyBorder="1" applyAlignment="1">
      <alignment horizontal="center" wrapText="1"/>
    </xf>
    <xf numFmtId="10" fontId="0" fillId="0" borderId="0" xfId="0" applyNumberFormat="1" applyFont="1" applyBorder="1" applyAlignment="1">
      <alignment wrapText="1"/>
    </xf>
    <xf numFmtId="7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165" fontId="4" fillId="0" borderId="0" xfId="0" applyNumberFormat="1" applyFont="1" applyAlignment="1">
      <alignment/>
    </xf>
    <xf numFmtId="165" fontId="17" fillId="0" borderId="0" xfId="0" applyNumberFormat="1" applyFont="1" applyFill="1" applyAlignment="1">
      <alignment horizontal="right"/>
    </xf>
    <xf numFmtId="165" fontId="18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/>
    </xf>
    <xf numFmtId="0" fontId="8" fillId="0" borderId="14" xfId="0" applyFont="1" applyBorder="1" applyAlignment="1">
      <alignment/>
    </xf>
    <xf numFmtId="168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16" fillId="0" borderId="12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4" xfId="0" applyBorder="1" applyAlignment="1">
      <alignment/>
    </xf>
    <xf numFmtId="3" fontId="0" fillId="0" borderId="16" xfId="0" applyNumberFormat="1" applyBorder="1" applyAlignment="1">
      <alignment/>
    </xf>
    <xf numFmtId="0" fontId="9" fillId="0" borderId="14" xfId="0" applyFont="1" applyBorder="1" applyAlignment="1">
      <alignment/>
    </xf>
    <xf numFmtId="0" fontId="6" fillId="0" borderId="15" xfId="0" applyFont="1" applyBorder="1" applyAlignment="1">
      <alignment/>
    </xf>
    <xf numFmtId="3" fontId="0" fillId="0" borderId="15" xfId="0" applyNumberForma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1" xfId="0" applyNumberFormat="1" applyBorder="1" applyAlignment="1">
      <alignment horizontal="left"/>
    </xf>
    <xf numFmtId="3" fontId="10" fillId="0" borderId="11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3" fontId="19" fillId="0" borderId="12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20" fillId="0" borderId="18" xfId="0" applyFont="1" applyBorder="1" applyAlignment="1">
      <alignment/>
    </xf>
    <xf numFmtId="0" fontId="0" fillId="0" borderId="19" xfId="0" applyBorder="1" applyAlignment="1">
      <alignment/>
    </xf>
    <xf numFmtId="0" fontId="21" fillId="0" borderId="0" xfId="0" applyFont="1" applyAlignment="1">
      <alignment/>
    </xf>
    <xf numFmtId="0" fontId="8" fillId="0" borderId="0" xfId="0" applyFont="1" applyAlignment="1">
      <alignment/>
    </xf>
    <xf numFmtId="165" fontId="0" fillId="0" borderId="0" xfId="0" applyNumberFormat="1" applyAlignment="1">
      <alignment/>
    </xf>
    <xf numFmtId="165" fontId="12" fillId="0" borderId="0" xfId="0" applyNumberFormat="1" applyFont="1" applyAlignment="1">
      <alignment/>
    </xf>
    <xf numFmtId="0" fontId="8" fillId="0" borderId="15" xfId="0" applyFont="1" applyBorder="1" applyAlignment="1">
      <alignment/>
    </xf>
    <xf numFmtId="165" fontId="12" fillId="0" borderId="16" xfId="0" applyNumberFormat="1" applyFont="1" applyBorder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165" fontId="10" fillId="0" borderId="0" xfId="44" applyNumberFormat="1" applyFont="1" applyAlignment="1">
      <alignment vertical="top"/>
    </xf>
    <xf numFmtId="44" fontId="10" fillId="0" borderId="0" xfId="44" applyFont="1" applyAlignment="1">
      <alignment vertical="top"/>
    </xf>
    <xf numFmtId="0" fontId="9" fillId="0" borderId="0" xfId="0" applyFont="1" applyAlignment="1">
      <alignment vertical="top"/>
    </xf>
    <xf numFmtId="165" fontId="9" fillId="0" borderId="0" xfId="0" applyNumberFormat="1" applyFont="1" applyAlignment="1">
      <alignment vertical="top"/>
    </xf>
    <xf numFmtId="0" fontId="10" fillId="0" borderId="0" xfId="0" applyFont="1" applyAlignment="1">
      <alignment vertical="top" wrapText="1"/>
    </xf>
    <xf numFmtId="165" fontId="10" fillId="0" borderId="0" xfId="0" applyNumberFormat="1" applyFont="1" applyAlignment="1">
      <alignment/>
    </xf>
    <xf numFmtId="0" fontId="10" fillId="33" borderId="0" xfId="0" applyFont="1" applyFill="1" applyAlignment="1">
      <alignment horizontal="center" vertical="top" wrapText="1"/>
    </xf>
    <xf numFmtId="5" fontId="10" fillId="33" borderId="0" xfId="44" applyNumberFormat="1" applyFont="1" applyFill="1" applyAlignment="1">
      <alignment horizontal="center" vertical="top" wrapText="1"/>
    </xf>
    <xf numFmtId="170" fontId="10" fillId="33" borderId="0" xfId="0" applyNumberFormat="1" applyFont="1" applyFill="1" applyAlignment="1">
      <alignment horizontal="center" vertical="top" wrapText="1"/>
    </xf>
    <xf numFmtId="1" fontId="10" fillId="33" borderId="0" xfId="0" applyNumberFormat="1" applyFont="1" applyFill="1" applyAlignment="1">
      <alignment horizontal="center" vertical="top" wrapText="1"/>
    </xf>
    <xf numFmtId="44" fontId="10" fillId="33" borderId="0" xfId="44" applyFont="1" applyFill="1" applyAlignment="1">
      <alignment horizontal="center" vertical="top" wrapText="1"/>
    </xf>
    <xf numFmtId="5" fontId="10" fillId="0" borderId="0" xfId="44" applyNumberFormat="1" applyFont="1" applyAlignment="1">
      <alignment vertical="top"/>
    </xf>
    <xf numFmtId="170" fontId="10" fillId="0" borderId="0" xfId="0" applyNumberFormat="1" applyFont="1" applyAlignment="1">
      <alignment vertical="top"/>
    </xf>
    <xf numFmtId="171" fontId="10" fillId="0" borderId="0" xfId="0" applyNumberFormat="1" applyFont="1" applyAlignment="1">
      <alignment vertical="top"/>
    </xf>
    <xf numFmtId="170" fontId="10" fillId="0" borderId="0" xfId="0" applyNumberFormat="1" applyFont="1" applyAlignment="1">
      <alignment horizontal="center" vertical="top"/>
    </xf>
    <xf numFmtId="171" fontId="10" fillId="34" borderId="0" xfId="0" applyNumberFormat="1" applyFont="1" applyFill="1" applyAlignment="1">
      <alignment vertical="top"/>
    </xf>
    <xf numFmtId="0" fontId="10" fillId="0" borderId="15" xfId="0" applyFont="1" applyBorder="1" applyAlignment="1">
      <alignment horizontal="center" vertical="top"/>
    </xf>
    <xf numFmtId="0" fontId="10" fillId="0" borderId="15" xfId="0" applyFont="1" applyBorder="1" applyAlignment="1">
      <alignment vertical="top" wrapText="1"/>
    </xf>
    <xf numFmtId="5" fontId="10" fillId="0" borderId="15" xfId="44" applyNumberFormat="1" applyFont="1" applyBorder="1" applyAlignment="1">
      <alignment vertical="top"/>
    </xf>
    <xf numFmtId="170" fontId="10" fillId="0" borderId="15" xfId="0" applyNumberFormat="1" applyFont="1" applyBorder="1" applyAlignment="1">
      <alignment vertical="top"/>
    </xf>
    <xf numFmtId="1" fontId="10" fillId="0" borderId="15" xfId="0" applyNumberFormat="1" applyFont="1" applyBorder="1" applyAlignment="1">
      <alignment vertical="top"/>
    </xf>
    <xf numFmtId="44" fontId="10" fillId="0" borderId="15" xfId="44" applyFon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5" fontId="0" fillId="0" borderId="0" xfId="44" applyNumberFormat="1" applyFont="1" applyAlignment="1">
      <alignment vertical="top"/>
    </xf>
    <xf numFmtId="170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44" fontId="0" fillId="0" borderId="0" xfId="44" applyFont="1" applyAlignment="1">
      <alignment vertical="top"/>
    </xf>
    <xf numFmtId="5" fontId="0" fillId="0" borderId="0" xfId="44" applyNumberFormat="1" applyFont="1" applyAlignment="1">
      <alignment/>
    </xf>
    <xf numFmtId="170" fontId="0" fillId="0" borderId="0" xfId="0" applyNumberFormat="1" applyAlignment="1">
      <alignment/>
    </xf>
    <xf numFmtId="1" fontId="0" fillId="0" borderId="0" xfId="0" applyNumberFormat="1" applyAlignment="1">
      <alignment/>
    </xf>
    <xf numFmtId="44" fontId="0" fillId="0" borderId="0" xfId="44" applyFont="1" applyAlignment="1">
      <alignment/>
    </xf>
    <xf numFmtId="3" fontId="10" fillId="0" borderId="0" xfId="0" applyNumberFormat="1" applyFont="1" applyAlignment="1">
      <alignment vertical="top"/>
    </xf>
    <xf numFmtId="3" fontId="10" fillId="0" borderId="0" xfId="0" applyNumberFormat="1" applyFont="1" applyAlignment="1">
      <alignment horizontal="center" vertical="top"/>
    </xf>
    <xf numFmtId="3" fontId="10" fillId="0" borderId="0" xfId="44" applyNumberFormat="1" applyFont="1" applyAlignment="1">
      <alignment vertical="top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 wrapText="1"/>
    </xf>
    <xf numFmtId="3" fontId="10" fillId="0" borderId="0" xfId="0" applyNumberFormat="1" applyFont="1" applyBorder="1" applyAlignment="1">
      <alignment horizontal="left"/>
    </xf>
    <xf numFmtId="171" fontId="10" fillId="34" borderId="15" xfId="0" applyNumberFormat="1" applyFont="1" applyFill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 wrapText="1"/>
    </xf>
    <xf numFmtId="5" fontId="10" fillId="0" borderId="0" xfId="44" applyNumberFormat="1" applyFont="1" applyBorder="1" applyAlignment="1">
      <alignment vertical="top"/>
    </xf>
    <xf numFmtId="171" fontId="10" fillId="0" borderId="0" xfId="0" applyNumberFormat="1" applyFont="1" applyBorder="1" applyAlignment="1">
      <alignment vertical="top"/>
    </xf>
    <xf numFmtId="44" fontId="10" fillId="0" borderId="0" xfId="44" applyFont="1" applyBorder="1" applyAlignment="1">
      <alignment vertical="top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5" fontId="10" fillId="0" borderId="10" xfId="44" applyNumberFormat="1" applyFont="1" applyBorder="1" applyAlignment="1">
      <alignment vertical="top"/>
    </xf>
    <xf numFmtId="171" fontId="10" fillId="34" borderId="10" xfId="0" applyNumberFormat="1" applyFont="1" applyFill="1" applyBorder="1" applyAlignment="1">
      <alignment vertical="top"/>
    </xf>
    <xf numFmtId="44" fontId="10" fillId="0" borderId="10" xfId="44" applyFont="1" applyBorder="1" applyAlignment="1">
      <alignment vertical="top"/>
    </xf>
    <xf numFmtId="171" fontId="10" fillId="34" borderId="0" xfId="0" applyNumberFormat="1" applyFont="1" applyFill="1" applyBorder="1" applyAlignment="1">
      <alignment vertical="top"/>
    </xf>
    <xf numFmtId="3" fontId="10" fillId="0" borderId="10" xfId="0" applyNumberFormat="1" applyFont="1" applyBorder="1" applyAlignment="1">
      <alignment horizontal="center" vertical="top"/>
    </xf>
    <xf numFmtId="170" fontId="0" fillId="0" borderId="10" xfId="0" applyNumberFormat="1" applyBorder="1" applyAlignment="1">
      <alignment/>
    </xf>
    <xf numFmtId="3" fontId="0" fillId="0" borderId="20" xfId="0" applyNumberFormat="1" applyBorder="1" applyAlignment="1">
      <alignment/>
    </xf>
    <xf numFmtId="2" fontId="0" fillId="0" borderId="0" xfId="0" applyNumberFormat="1" applyAlignment="1">
      <alignment/>
    </xf>
    <xf numFmtId="0" fontId="24" fillId="0" borderId="0" xfId="0" applyFont="1" applyAlignment="1">
      <alignment/>
    </xf>
    <xf numFmtId="178" fontId="0" fillId="0" borderId="0" xfId="0" applyNumberFormat="1" applyAlignment="1">
      <alignment horizontal="center"/>
    </xf>
    <xf numFmtId="3" fontId="0" fillId="0" borderId="21" xfId="0" applyNumberFormat="1" applyBorder="1" applyAlignment="1">
      <alignment horizontal="center"/>
    </xf>
    <xf numFmtId="3" fontId="16" fillId="0" borderId="22" xfId="0" applyNumberFormat="1" applyFont="1" applyBorder="1" applyAlignment="1">
      <alignment/>
    </xf>
    <xf numFmtId="3" fontId="0" fillId="0" borderId="22" xfId="0" applyNumberForma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left"/>
    </xf>
    <xf numFmtId="3" fontId="0" fillId="0" borderId="0" xfId="0" applyNumberFormat="1" applyAlignment="1">
      <alignment horizontal="left"/>
    </xf>
    <xf numFmtId="3" fontId="25" fillId="0" borderId="0" xfId="0" applyNumberFormat="1" applyFont="1" applyAlignment="1">
      <alignment/>
    </xf>
    <xf numFmtId="3" fontId="19" fillId="0" borderId="16" xfId="0" applyNumberFormat="1" applyFont="1" applyBorder="1" applyAlignment="1">
      <alignment horizontal="center" wrapText="1"/>
    </xf>
    <xf numFmtId="3" fontId="4" fillId="0" borderId="0" xfId="0" applyNumberFormat="1" applyFont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left"/>
    </xf>
    <xf numFmtId="165" fontId="15" fillId="0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/>
    </xf>
    <xf numFmtId="3" fontId="5" fillId="0" borderId="12" xfId="0" applyNumberFormat="1" applyFont="1" applyBorder="1" applyAlignment="1">
      <alignment horizontal="right"/>
    </xf>
    <xf numFmtId="0" fontId="20" fillId="0" borderId="0" xfId="0" applyNumberFormat="1" applyFont="1" applyAlignment="1">
      <alignment horizontal="center"/>
    </xf>
    <xf numFmtId="4" fontId="26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26" fillId="0" borderId="0" xfId="0" applyNumberFormat="1" applyFont="1" applyAlignment="1">
      <alignment horizontal="center"/>
    </xf>
    <xf numFmtId="3" fontId="27" fillId="0" borderId="0" xfId="0" applyNumberFormat="1" applyFont="1" applyAlignment="1">
      <alignment horizontal="center"/>
    </xf>
    <xf numFmtId="0" fontId="0" fillId="0" borderId="0" xfId="0" applyNumberFormat="1" applyBorder="1" applyAlignment="1">
      <alignment/>
    </xf>
    <xf numFmtId="0" fontId="4" fillId="0" borderId="10" xfId="0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center" vertical="top" wrapText="1"/>
    </xf>
    <xf numFmtId="3" fontId="13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8" fillId="0" borderId="0" xfId="0" applyFont="1" applyFill="1" applyAlignment="1">
      <alignment horizontal="left"/>
    </xf>
    <xf numFmtId="0" fontId="28" fillId="0" borderId="0" xfId="0" applyFont="1" applyAlignment="1">
      <alignment/>
    </xf>
    <xf numFmtId="0" fontId="18" fillId="0" borderId="0" xfId="0" applyFont="1" applyFill="1" applyAlignment="1">
      <alignment horizontal="left" wrapText="1"/>
    </xf>
    <xf numFmtId="4" fontId="4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165" fontId="29" fillId="0" borderId="0" xfId="0" applyNumberFormat="1" applyFont="1" applyFill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5" xfId="0" applyNumberFormat="1" applyFont="1" applyBorder="1" applyAlignment="1">
      <alignment/>
    </xf>
    <xf numFmtId="3" fontId="4" fillId="0" borderId="23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/>
    </xf>
    <xf numFmtId="9" fontId="4" fillId="0" borderId="15" xfId="0" applyNumberFormat="1" applyFont="1" applyBorder="1" applyAlignment="1">
      <alignment horizontal="center"/>
    </xf>
    <xf numFmtId="165" fontId="30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165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165" fontId="4" fillId="0" borderId="17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0" fontId="5" fillId="0" borderId="12" xfId="0" applyNumberFormat="1" applyFont="1" applyBorder="1" applyAlignment="1">
      <alignment/>
    </xf>
    <xf numFmtId="1" fontId="5" fillId="0" borderId="24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3" fontId="25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20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Fill="1" applyAlignment="1">
      <alignment horizontal="left"/>
    </xf>
    <xf numFmtId="165" fontId="33" fillId="0" borderId="0" xfId="0" applyNumberFormat="1" applyFont="1" applyFill="1" applyAlignment="1">
      <alignment horizontal="right"/>
    </xf>
    <xf numFmtId="0" fontId="31" fillId="0" borderId="0" xfId="0" applyFont="1" applyAlignment="1">
      <alignment/>
    </xf>
    <xf numFmtId="0" fontId="9" fillId="0" borderId="0" xfId="0" applyFont="1" applyAlignment="1">
      <alignment wrapText="1"/>
    </xf>
    <xf numFmtId="3" fontId="9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3" fontId="10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3" fontId="28" fillId="0" borderId="0" xfId="0" applyNumberFormat="1" applyFont="1" applyAlignment="1">
      <alignment/>
    </xf>
    <xf numFmtId="3" fontId="4" fillId="0" borderId="0" xfId="0" applyNumberFormat="1" applyFont="1" applyFill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3" fontId="9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 vertical="top" wrapText="1"/>
    </xf>
    <xf numFmtId="0" fontId="8" fillId="33" borderId="0" xfId="0" applyFont="1" applyFill="1" applyAlignment="1">
      <alignment horizontal="center" vertical="top" wrapText="1"/>
    </xf>
    <xf numFmtId="44" fontId="8" fillId="33" borderId="0" xfId="44" applyFont="1" applyFill="1" applyAlignment="1">
      <alignment horizontal="center" vertical="top" wrapText="1"/>
    </xf>
    <xf numFmtId="165" fontId="8" fillId="33" borderId="0" xfId="0" applyNumberFormat="1" applyFont="1" applyFill="1" applyAlignment="1">
      <alignment horizontal="center" vertical="top" wrapText="1"/>
    </xf>
    <xf numFmtId="170" fontId="8" fillId="33" borderId="0" xfId="0" applyNumberFormat="1" applyFont="1" applyFill="1" applyAlignment="1">
      <alignment horizontal="center" vertical="top" wrapText="1"/>
    </xf>
    <xf numFmtId="1" fontId="8" fillId="33" borderId="0" xfId="0" applyNumberFormat="1" applyFont="1" applyFill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vertical="top" wrapText="1"/>
    </xf>
    <xf numFmtId="44" fontId="35" fillId="0" borderId="0" xfId="44" applyFont="1" applyAlignment="1">
      <alignment/>
    </xf>
    <xf numFmtId="170" fontId="35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44" fontId="35" fillId="0" borderId="0" xfId="44" applyFont="1" applyAlignment="1">
      <alignment vertical="top"/>
    </xf>
    <xf numFmtId="5" fontId="35" fillId="0" borderId="0" xfId="44" applyNumberFormat="1" applyFont="1" applyAlignment="1">
      <alignment vertical="top"/>
    </xf>
    <xf numFmtId="170" fontId="35" fillId="0" borderId="0" xfId="0" applyNumberFormat="1" applyFont="1" applyAlignment="1">
      <alignment vertical="top"/>
    </xf>
    <xf numFmtId="1" fontId="35" fillId="0" borderId="0" xfId="0" applyNumberFormat="1" applyFont="1" applyAlignment="1">
      <alignment vertical="top"/>
    </xf>
    <xf numFmtId="170" fontId="35" fillId="0" borderId="0" xfId="0" applyNumberFormat="1" applyFont="1" applyAlignment="1">
      <alignment horizontal="center" vertical="top"/>
    </xf>
    <xf numFmtId="175" fontId="35" fillId="0" borderId="0" xfId="0" applyNumberFormat="1" applyFont="1" applyFill="1" applyAlignment="1">
      <alignment vertical="top"/>
    </xf>
    <xf numFmtId="165" fontId="0" fillId="0" borderId="0" xfId="0" applyNumberFormat="1" applyAlignment="1">
      <alignment vertical="top"/>
    </xf>
    <xf numFmtId="165" fontId="35" fillId="0" borderId="0" xfId="44" applyNumberFormat="1" applyFont="1" applyAlignment="1">
      <alignment vertical="top"/>
    </xf>
    <xf numFmtId="1" fontId="35" fillId="0" borderId="0" xfId="0" applyNumberFormat="1" applyFont="1" applyFill="1" applyAlignment="1">
      <alignment vertical="top"/>
    </xf>
    <xf numFmtId="170" fontId="0" fillId="0" borderId="0" xfId="0" applyNumberFormat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36" fillId="0" borderId="15" xfId="0" applyFont="1" applyBorder="1" applyAlignment="1">
      <alignment vertical="top" wrapText="1"/>
    </xf>
    <xf numFmtId="44" fontId="8" fillId="0" borderId="15" xfId="44" applyFont="1" applyBorder="1" applyAlignment="1">
      <alignment vertical="top"/>
    </xf>
    <xf numFmtId="165" fontId="8" fillId="0" borderId="15" xfId="44" applyNumberFormat="1" applyFont="1" applyBorder="1" applyAlignment="1">
      <alignment vertical="top"/>
    </xf>
    <xf numFmtId="170" fontId="0" fillId="0" borderId="15" xfId="0" applyNumberFormat="1" applyBorder="1" applyAlignment="1">
      <alignment vertical="top"/>
    </xf>
    <xf numFmtId="1" fontId="0" fillId="0" borderId="15" xfId="0" applyNumberFormat="1" applyBorder="1" applyAlignment="1">
      <alignment vertical="top"/>
    </xf>
    <xf numFmtId="44" fontId="0" fillId="0" borderId="15" xfId="44" applyFont="1" applyBorder="1" applyAlignment="1">
      <alignment vertical="top"/>
    </xf>
    <xf numFmtId="0" fontId="8" fillId="0" borderId="0" xfId="0" applyFont="1" applyAlignment="1">
      <alignment vertical="top"/>
    </xf>
    <xf numFmtId="165" fontId="8" fillId="0" borderId="0" xfId="0" applyNumberFormat="1" applyFont="1" applyAlignment="1">
      <alignment vertical="top"/>
    </xf>
    <xf numFmtId="3" fontId="35" fillId="0" borderId="0" xfId="0" applyNumberFormat="1" applyFont="1" applyAlignment="1">
      <alignment vertical="top"/>
    </xf>
    <xf numFmtId="165" fontId="8" fillId="0" borderId="0" xfId="44" applyNumberFormat="1" applyFont="1" applyAlignment="1">
      <alignment vertical="top"/>
    </xf>
    <xf numFmtId="165" fontId="37" fillId="0" borderId="0" xfId="0" applyNumberFormat="1" applyFont="1" applyAlignment="1">
      <alignment vertical="top"/>
    </xf>
    <xf numFmtId="0" fontId="8" fillId="0" borderId="0" xfId="0" applyFont="1" applyAlignment="1">
      <alignment vertical="top" wrapText="1"/>
    </xf>
    <xf numFmtId="44" fontId="8" fillId="0" borderId="18" xfId="44" applyFont="1" applyBorder="1" applyAlignment="1">
      <alignment/>
    </xf>
    <xf numFmtId="165" fontId="8" fillId="0" borderId="25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13" fillId="0" borderId="0" xfId="0" applyFont="1" applyAlignment="1">
      <alignment wrapText="1"/>
    </xf>
    <xf numFmtId="4" fontId="4" fillId="0" borderId="0" xfId="0" applyNumberFormat="1" applyFont="1" applyFill="1" applyAlignment="1">
      <alignment horizontal="center" vertical="top" wrapText="1"/>
    </xf>
    <xf numFmtId="4" fontId="4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4" fillId="0" borderId="12" xfId="0" applyFont="1" applyBorder="1" applyAlignment="1">
      <alignment/>
    </xf>
    <xf numFmtId="0" fontId="9" fillId="0" borderId="14" xfId="0" applyFont="1" applyFill="1" applyBorder="1" applyAlignment="1">
      <alignment horizontal="center" vertical="top" wrapText="1"/>
    </xf>
    <xf numFmtId="3" fontId="4" fillId="0" borderId="15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5" fontId="25" fillId="0" borderId="0" xfId="0" applyNumberFormat="1" applyFont="1" applyFill="1" applyAlignment="1">
      <alignment horizontal="right"/>
    </xf>
    <xf numFmtId="165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9" fillId="0" borderId="0" xfId="0" applyNumberFormat="1" applyFont="1" applyAlignment="1">
      <alignment wrapText="1"/>
    </xf>
    <xf numFmtId="165" fontId="7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left"/>
    </xf>
    <xf numFmtId="165" fontId="15" fillId="0" borderId="0" xfId="0" applyNumberFormat="1" applyFont="1" applyFill="1" applyAlignment="1">
      <alignment horizontal="left"/>
    </xf>
    <xf numFmtId="0" fontId="32" fillId="0" borderId="0" xfId="0" applyFont="1" applyAlignment="1">
      <alignment/>
    </xf>
    <xf numFmtId="165" fontId="39" fillId="0" borderId="0" xfId="0" applyNumberFormat="1" applyFont="1" applyFill="1" applyAlignment="1">
      <alignment horizontal="right"/>
    </xf>
    <xf numFmtId="0" fontId="14" fillId="0" borderId="0" xfId="0" applyFont="1" applyAlignment="1">
      <alignment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0" xfId="0" applyFont="1" applyBorder="1" applyAlignment="1">
      <alignment/>
    </xf>
    <xf numFmtId="3" fontId="25" fillId="0" borderId="10" xfId="0" applyNumberFormat="1" applyFont="1" applyBorder="1" applyAlignment="1">
      <alignment/>
    </xf>
    <xf numFmtId="3" fontId="25" fillId="0" borderId="17" xfId="0" applyNumberFormat="1" applyFont="1" applyBorder="1" applyAlignment="1">
      <alignment/>
    </xf>
    <xf numFmtId="177" fontId="25" fillId="0" borderId="0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3" fontId="25" fillId="0" borderId="16" xfId="0" applyNumberFormat="1" applyFont="1" applyBorder="1" applyAlignment="1">
      <alignment/>
    </xf>
    <xf numFmtId="49" fontId="25" fillId="0" borderId="0" xfId="0" applyNumberFormat="1" applyFont="1" applyBorder="1" applyAlignment="1">
      <alignment/>
    </xf>
    <xf numFmtId="49" fontId="25" fillId="0" borderId="12" xfId="0" applyNumberFormat="1" applyFont="1" applyBorder="1" applyAlignment="1">
      <alignment/>
    </xf>
    <xf numFmtId="0" fontId="25" fillId="0" borderId="12" xfId="0" applyFont="1" applyBorder="1" applyAlignment="1">
      <alignment/>
    </xf>
    <xf numFmtId="3" fontId="5" fillId="0" borderId="0" xfId="0" applyNumberFormat="1" applyFont="1" applyBorder="1" applyAlignment="1">
      <alignment/>
    </xf>
    <xf numFmtId="9" fontId="5" fillId="0" borderId="0" xfId="0" applyNumberFormat="1" applyFont="1" applyFill="1" applyAlignment="1">
      <alignment horizontal="left"/>
    </xf>
    <xf numFmtId="1" fontId="25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25" fillId="0" borderId="19" xfId="0" applyFont="1" applyBorder="1" applyAlignment="1">
      <alignment/>
    </xf>
    <xf numFmtId="49" fontId="5" fillId="0" borderId="26" xfId="0" applyNumberFormat="1" applyFont="1" applyBorder="1" applyAlignment="1">
      <alignment horizontal="centerContinuous"/>
    </xf>
    <xf numFmtId="49" fontId="5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0" fontId="5" fillId="0" borderId="11" xfId="0" applyFont="1" applyFill="1" applyBorder="1" applyAlignment="1">
      <alignment horizontal="left"/>
    </xf>
    <xf numFmtId="1" fontId="5" fillId="0" borderId="27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 horizontal="right"/>
    </xf>
    <xf numFmtId="49" fontId="5" fillId="0" borderId="13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65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top" wrapText="1"/>
    </xf>
    <xf numFmtId="165" fontId="5" fillId="0" borderId="0" xfId="0" applyNumberFormat="1" applyFont="1" applyBorder="1" applyAlignment="1">
      <alignment vertical="top" wrapText="1"/>
    </xf>
    <xf numFmtId="49" fontId="20" fillId="0" borderId="14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165" fontId="5" fillId="0" borderId="12" xfId="0" applyNumberFormat="1" applyFont="1" applyBorder="1" applyAlignment="1">
      <alignment vertical="top" wrapText="1"/>
    </xf>
    <xf numFmtId="0" fontId="5" fillId="0" borderId="13" xfId="0" applyNumberFormat="1" applyFont="1" applyBorder="1" applyAlignment="1">
      <alignment/>
    </xf>
    <xf numFmtId="165" fontId="29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0" fontId="41" fillId="35" borderId="28" xfId="0" applyFont="1" applyFill="1" applyBorder="1" applyAlignment="1">
      <alignment/>
    </xf>
    <xf numFmtId="0" fontId="41" fillId="35" borderId="29" xfId="0" applyFont="1" applyFill="1" applyBorder="1" applyAlignment="1">
      <alignment/>
    </xf>
    <xf numFmtId="0" fontId="41" fillId="35" borderId="28" xfId="0" applyNumberFormat="1" applyFont="1" applyFill="1" applyBorder="1" applyAlignment="1">
      <alignment/>
    </xf>
    <xf numFmtId="0" fontId="41" fillId="35" borderId="30" xfId="0" applyNumberFormat="1" applyFont="1" applyFill="1" applyBorder="1" applyAlignment="1">
      <alignment/>
    </xf>
    <xf numFmtId="0" fontId="41" fillId="35" borderId="0" xfId="0" applyFont="1" applyFill="1" applyAlignment="1">
      <alignment/>
    </xf>
    <xf numFmtId="0" fontId="42" fillId="0" borderId="0" xfId="0" applyFont="1" applyAlignment="1">
      <alignment/>
    </xf>
    <xf numFmtId="3" fontId="43" fillId="0" borderId="20" xfId="0" applyNumberFormat="1" applyFont="1" applyBorder="1" applyAlignment="1">
      <alignment/>
    </xf>
    <xf numFmtId="0" fontId="43" fillId="0" borderId="0" xfId="0" applyFont="1" applyAlignment="1">
      <alignment/>
    </xf>
    <xf numFmtId="3" fontId="5" fillId="0" borderId="20" xfId="0" applyNumberFormat="1" applyFont="1" applyBorder="1" applyAlignment="1">
      <alignment/>
    </xf>
    <xf numFmtId="3" fontId="40" fillId="0" borderId="2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21" xfId="0" applyFont="1" applyBorder="1" applyAlignment="1">
      <alignment wrapText="1"/>
    </xf>
    <xf numFmtId="3" fontId="4" fillId="0" borderId="15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37" fontId="4" fillId="0" borderId="0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3" fontId="4" fillId="0" borderId="11" xfId="0" applyNumberFormat="1" applyFont="1" applyBorder="1" applyAlignment="1">
      <alignment/>
    </xf>
    <xf numFmtId="165" fontId="18" fillId="0" borderId="0" xfId="0" applyNumberFormat="1" applyFont="1" applyFill="1" applyAlignment="1">
      <alignment horizontal="left"/>
    </xf>
    <xf numFmtId="165" fontId="39" fillId="0" borderId="0" xfId="0" applyNumberFormat="1" applyFont="1" applyFill="1" applyAlignment="1">
      <alignment horizontal="left"/>
    </xf>
    <xf numFmtId="0" fontId="13" fillId="0" borderId="0" xfId="0" applyFont="1" applyAlignment="1">
      <alignment/>
    </xf>
    <xf numFmtId="0" fontId="4" fillId="0" borderId="0" xfId="0" applyFont="1" applyFill="1" applyAlignment="1">
      <alignment vertical="top" wrapText="1"/>
    </xf>
    <xf numFmtId="3" fontId="4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" fontId="9" fillId="0" borderId="0" xfId="0" applyNumberFormat="1" applyFont="1" applyFill="1" applyAlignment="1">
      <alignment horizontal="center" vertical="top"/>
    </xf>
    <xf numFmtId="3" fontId="9" fillId="0" borderId="0" xfId="0" applyNumberFormat="1" applyFont="1" applyAlignment="1">
      <alignment vertical="top"/>
    </xf>
    <xf numFmtId="0" fontId="4" fillId="0" borderId="15" xfId="0" applyFont="1" applyBorder="1" applyAlignment="1">
      <alignment vertical="top" wrapText="1"/>
    </xf>
    <xf numFmtId="3" fontId="4" fillId="0" borderId="15" xfId="0" applyNumberFormat="1" applyFont="1" applyBorder="1" applyAlignment="1">
      <alignment vertical="top" wrapText="1"/>
    </xf>
    <xf numFmtId="3" fontId="4" fillId="0" borderId="11" xfId="0" applyNumberFormat="1" applyFont="1" applyBorder="1" applyAlignment="1">
      <alignment vertical="top" wrapText="1"/>
    </xf>
    <xf numFmtId="3" fontId="4" fillId="0" borderId="10" xfId="0" applyNumberFormat="1" applyFont="1" applyBorder="1" applyAlignment="1">
      <alignment vertical="top"/>
    </xf>
    <xf numFmtId="3" fontId="28" fillId="0" borderId="0" xfId="0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wrapText="1"/>
    </xf>
    <xf numFmtId="0" fontId="38" fillId="0" borderId="0" xfId="0" applyFont="1" applyAlignment="1">
      <alignment wrapText="1"/>
    </xf>
    <xf numFmtId="3" fontId="7" fillId="0" borderId="0" xfId="0" applyNumberFormat="1" applyFont="1" applyAlignment="1">
      <alignment/>
    </xf>
    <xf numFmtId="3" fontId="34" fillId="36" borderId="0" xfId="0" applyNumberFormat="1" applyFont="1" applyFill="1" applyAlignment="1">
      <alignment horizontal="left"/>
    </xf>
    <xf numFmtId="3" fontId="34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165" fontId="34" fillId="37" borderId="17" xfId="0" applyNumberFormat="1" applyFont="1" applyFill="1" applyBorder="1" applyAlignment="1">
      <alignment horizontal="center"/>
    </xf>
    <xf numFmtId="0" fontId="38" fillId="0" borderId="0" xfId="0" applyFont="1" applyAlignment="1">
      <alignment/>
    </xf>
    <xf numFmtId="0" fontId="44" fillId="0" borderId="0" xfId="0" applyFont="1" applyAlignment="1">
      <alignment/>
    </xf>
    <xf numFmtId="0" fontId="34" fillId="37" borderId="13" xfId="0" applyFont="1" applyFill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9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28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top" wrapText="1"/>
    </xf>
    <xf numFmtId="165" fontId="4" fillId="0" borderId="0" xfId="0" applyNumberFormat="1" applyFont="1" applyAlignment="1">
      <alignment horizontal="center"/>
    </xf>
    <xf numFmtId="3" fontId="28" fillId="0" borderId="15" xfId="0" applyNumberFormat="1" applyFont="1" applyFill="1" applyBorder="1" applyAlignment="1">
      <alignment horizontal="center" vertical="top" wrapText="1"/>
    </xf>
    <xf numFmtId="166" fontId="4" fillId="0" borderId="11" xfId="0" applyNumberFormat="1" applyFont="1" applyBorder="1" applyAlignment="1">
      <alignment/>
    </xf>
    <xf numFmtId="10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7" fontId="4" fillId="0" borderId="0" xfId="0" applyNumberFormat="1" applyFont="1" applyBorder="1" applyAlignment="1">
      <alignment/>
    </xf>
    <xf numFmtId="7" fontId="4" fillId="0" borderId="12" xfId="0" applyNumberFormat="1" applyFont="1" applyBorder="1" applyAlignment="1">
      <alignment/>
    </xf>
    <xf numFmtId="7" fontId="4" fillId="0" borderId="11" xfId="44" applyNumberFormat="1" applyFont="1" applyBorder="1" applyAlignment="1">
      <alignment/>
    </xf>
    <xf numFmtId="7" fontId="4" fillId="0" borderId="0" xfId="0" applyNumberFormat="1" applyFont="1" applyAlignment="1">
      <alignment/>
    </xf>
    <xf numFmtId="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7" fontId="4" fillId="0" borderId="12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2" xfId="0" applyFont="1" applyBorder="1" applyAlignment="1">
      <alignment/>
    </xf>
    <xf numFmtId="10" fontId="28" fillId="0" borderId="0" xfId="0" applyNumberFormat="1" applyFont="1" applyAlignment="1">
      <alignment/>
    </xf>
    <xf numFmtId="166" fontId="28" fillId="0" borderId="0" xfId="0" applyNumberFormat="1" applyFont="1" applyAlignment="1">
      <alignment/>
    </xf>
    <xf numFmtId="7" fontId="28" fillId="0" borderId="0" xfId="0" applyNumberFormat="1" applyFont="1" applyBorder="1" applyAlignment="1">
      <alignment/>
    </xf>
    <xf numFmtId="7" fontId="28" fillId="0" borderId="12" xfId="0" applyNumberFormat="1" applyFont="1" applyBorder="1" applyAlignment="1">
      <alignment/>
    </xf>
    <xf numFmtId="7" fontId="28" fillId="0" borderId="0" xfId="0" applyNumberFormat="1" applyFont="1" applyAlignment="1">
      <alignment/>
    </xf>
    <xf numFmtId="7" fontId="28" fillId="0" borderId="11" xfId="44" applyNumberFormat="1" applyFont="1" applyBorder="1" applyAlignment="1">
      <alignment/>
    </xf>
    <xf numFmtId="7" fontId="28" fillId="0" borderId="11" xfId="0" applyNumberFormat="1" applyFont="1" applyBorder="1" applyAlignment="1">
      <alignment/>
    </xf>
    <xf numFmtId="167" fontId="28" fillId="0" borderId="0" xfId="0" applyNumberFormat="1" applyFont="1" applyBorder="1" applyAlignment="1">
      <alignment/>
    </xf>
    <xf numFmtId="167" fontId="28" fillId="0" borderId="12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4" fillId="0" borderId="12" xfId="0" applyNumberFormat="1" applyFont="1" applyBorder="1" applyAlignment="1">
      <alignment/>
    </xf>
    <xf numFmtId="165" fontId="4" fillId="0" borderId="0" xfId="0" applyNumberFormat="1" applyFont="1" applyFill="1" applyAlignment="1">
      <alignment horizontal="right"/>
    </xf>
    <xf numFmtId="7" fontId="4" fillId="0" borderId="13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167" fontId="4" fillId="0" borderId="17" xfId="0" applyNumberFormat="1" applyFont="1" applyBorder="1" applyAlignment="1">
      <alignment/>
    </xf>
    <xf numFmtId="167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10" fontId="4" fillId="0" borderId="0" xfId="0" applyNumberFormat="1" applyFont="1" applyAlignment="1">
      <alignment/>
    </xf>
    <xf numFmtId="166" fontId="4" fillId="0" borderId="10" xfId="0" applyNumberFormat="1" applyFont="1" applyBorder="1" applyAlignment="1">
      <alignment/>
    </xf>
    <xf numFmtId="166" fontId="4" fillId="0" borderId="17" xfId="0" applyNumberFormat="1" applyFont="1" applyBorder="1" applyAlignment="1">
      <alignment/>
    </xf>
    <xf numFmtId="7" fontId="4" fillId="0" borderId="10" xfId="0" applyNumberFormat="1" applyFont="1" applyBorder="1" applyAlignment="1">
      <alignment/>
    </xf>
    <xf numFmtId="7" fontId="4" fillId="0" borderId="17" xfId="0" applyNumberFormat="1" applyFont="1" applyBorder="1" applyAlignment="1">
      <alignment/>
    </xf>
    <xf numFmtId="0" fontId="45" fillId="0" borderId="19" xfId="0" applyFont="1" applyBorder="1" applyAlignment="1">
      <alignment/>
    </xf>
    <xf numFmtId="5" fontId="45" fillId="0" borderId="25" xfId="0" applyNumberFormat="1" applyFont="1" applyBorder="1" applyAlignment="1">
      <alignment/>
    </xf>
    <xf numFmtId="0" fontId="28" fillId="0" borderId="15" xfId="0" applyFont="1" applyBorder="1" applyAlignment="1">
      <alignment wrapText="1"/>
    </xf>
    <xf numFmtId="0" fontId="13" fillId="0" borderId="0" xfId="0" applyFont="1" applyBorder="1" applyAlignment="1">
      <alignment wrapText="1"/>
    </xf>
    <xf numFmtId="166" fontId="28" fillId="0" borderId="11" xfId="0" applyNumberFormat="1" applyFont="1" applyBorder="1" applyAlignment="1">
      <alignment/>
    </xf>
    <xf numFmtId="166" fontId="28" fillId="0" borderId="0" xfId="0" applyNumberFormat="1" applyFont="1" applyBorder="1" applyAlignment="1">
      <alignment/>
    </xf>
    <xf numFmtId="0" fontId="28" fillId="0" borderId="10" xfId="0" applyFont="1" applyBorder="1" applyAlignment="1">
      <alignment/>
    </xf>
    <xf numFmtId="166" fontId="28" fillId="0" borderId="10" xfId="0" applyNumberFormat="1" applyFont="1" applyBorder="1" applyAlignment="1">
      <alignment/>
    </xf>
    <xf numFmtId="166" fontId="13" fillId="0" borderId="0" xfId="0" applyNumberFormat="1" applyFont="1" applyAlignment="1">
      <alignment/>
    </xf>
    <xf numFmtId="177" fontId="13" fillId="0" borderId="0" xfId="0" applyNumberFormat="1" applyFont="1" applyBorder="1" applyAlignment="1">
      <alignment wrapText="1"/>
    </xf>
    <xf numFmtId="10" fontId="13" fillId="0" borderId="0" xfId="0" applyNumberFormat="1" applyFont="1" applyBorder="1" applyAlignment="1">
      <alignment wrapText="1"/>
    </xf>
    <xf numFmtId="7" fontId="28" fillId="0" borderId="10" xfId="0" applyNumberFormat="1" applyFont="1" applyBorder="1" applyAlignment="1">
      <alignment/>
    </xf>
    <xf numFmtId="7" fontId="13" fillId="0" borderId="0" xfId="0" applyNumberFormat="1" applyFont="1" applyAlignment="1">
      <alignment/>
    </xf>
    <xf numFmtId="0" fontId="9" fillId="0" borderId="11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horizontal="center"/>
    </xf>
    <xf numFmtId="0" fontId="38" fillId="37" borderId="11" xfId="0" applyFont="1" applyFill="1" applyBorder="1" applyAlignment="1">
      <alignment vertical="top" wrapText="1"/>
    </xf>
    <xf numFmtId="4" fontId="4" fillId="37" borderId="12" xfId="0" applyNumberFormat="1" applyFont="1" applyFill="1" applyBorder="1" applyAlignment="1">
      <alignment horizontal="center" vertical="top" wrapText="1"/>
    </xf>
    <xf numFmtId="0" fontId="34" fillId="0" borderId="14" xfId="0" applyFont="1" applyFill="1" applyBorder="1" applyAlignment="1">
      <alignment wrapText="1"/>
    </xf>
    <xf numFmtId="3" fontId="9" fillId="0" borderId="15" xfId="0" applyNumberFormat="1" applyFont="1" applyFill="1" applyBorder="1" applyAlignment="1">
      <alignment horizontal="center" wrapText="1"/>
    </xf>
    <xf numFmtId="165" fontId="9" fillId="0" borderId="15" xfId="0" applyNumberFormat="1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top" wrapText="1"/>
    </xf>
    <xf numFmtId="0" fontId="28" fillId="0" borderId="0" xfId="0" applyFont="1" applyAlignment="1">
      <alignment horizontal="center" wrapText="1"/>
    </xf>
    <xf numFmtId="179" fontId="28" fillId="0" borderId="0" xfId="0" applyNumberFormat="1" applyFont="1" applyAlignment="1">
      <alignment/>
    </xf>
    <xf numFmtId="37" fontId="28" fillId="0" borderId="0" xfId="0" applyNumberFormat="1" applyFont="1" applyAlignment="1">
      <alignment/>
    </xf>
    <xf numFmtId="39" fontId="28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/>
    </xf>
    <xf numFmtId="165" fontId="33" fillId="0" borderId="0" xfId="0" applyNumberFormat="1" applyFont="1" applyFill="1" applyAlignment="1">
      <alignment horizontal="left"/>
    </xf>
    <xf numFmtId="4" fontId="4" fillId="0" borderId="0" xfId="0" applyNumberFormat="1" applyFont="1" applyAlignment="1">
      <alignment horizontal="left"/>
    </xf>
    <xf numFmtId="4" fontId="46" fillId="0" borderId="0" xfId="0" applyNumberFormat="1" applyFont="1" applyAlignment="1">
      <alignment/>
    </xf>
    <xf numFmtId="4" fontId="46" fillId="0" borderId="0" xfId="0" applyNumberFormat="1" applyFont="1" applyAlignment="1">
      <alignment horizontal="left"/>
    </xf>
    <xf numFmtId="0" fontId="28" fillId="0" borderId="0" xfId="0" applyFont="1" applyAlignment="1">
      <alignment wrapText="1"/>
    </xf>
    <xf numFmtId="165" fontId="18" fillId="0" borderId="0" xfId="0" applyNumberFormat="1" applyFont="1" applyFill="1" applyAlignment="1">
      <alignment horizontal="right" wrapText="1"/>
    </xf>
    <xf numFmtId="4" fontId="28" fillId="0" borderId="0" xfId="0" applyNumberFormat="1" applyFont="1" applyAlignment="1">
      <alignment wrapText="1"/>
    </xf>
    <xf numFmtId="4" fontId="28" fillId="0" borderId="0" xfId="0" applyNumberFormat="1" applyFont="1" applyAlignment="1">
      <alignment horizontal="left" wrapText="1"/>
    </xf>
    <xf numFmtId="3" fontId="28" fillId="0" borderId="0" xfId="0" applyNumberFormat="1" applyFont="1" applyFill="1" applyAlignment="1">
      <alignment horizontal="right"/>
    </xf>
    <xf numFmtId="180" fontId="28" fillId="0" borderId="0" xfId="0" applyNumberFormat="1" applyFont="1" applyAlignment="1">
      <alignment horizontal="left"/>
    </xf>
    <xf numFmtId="3" fontId="28" fillId="0" borderId="0" xfId="0" applyNumberFormat="1" applyFont="1" applyFill="1" applyAlignment="1">
      <alignment horizontal="right" wrapText="1"/>
    </xf>
    <xf numFmtId="0" fontId="25" fillId="0" borderId="0" xfId="0" applyFont="1" applyFill="1" applyAlignment="1">
      <alignment horizontal="left"/>
    </xf>
    <xf numFmtId="4" fontId="9" fillId="0" borderId="0" xfId="0" applyNumberFormat="1" applyFont="1" applyAlignment="1">
      <alignment horizontal="left"/>
    </xf>
    <xf numFmtId="4" fontId="2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165" fontId="47" fillId="0" borderId="0" xfId="0" applyNumberFormat="1" applyFont="1" applyFill="1" applyAlignment="1">
      <alignment horizontal="right"/>
    </xf>
    <xf numFmtId="0" fontId="33" fillId="0" borderId="0" xfId="0" applyFont="1" applyAlignment="1">
      <alignment/>
    </xf>
    <xf numFmtId="3" fontId="4" fillId="0" borderId="0" xfId="0" applyNumberFormat="1" applyFont="1" applyAlignment="1">
      <alignment horizontal="left"/>
    </xf>
    <xf numFmtId="3" fontId="18" fillId="0" borderId="0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3" fontId="18" fillId="0" borderId="15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0" fontId="28" fillId="0" borderId="0" xfId="0" applyFont="1" applyFill="1" applyAlignment="1">
      <alignment horizontal="left"/>
    </xf>
    <xf numFmtId="1" fontId="5" fillId="0" borderId="0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49" fontId="4" fillId="36" borderId="11" xfId="0" applyNumberFormat="1" applyFont="1" applyFill="1" applyBorder="1" applyAlignment="1">
      <alignment/>
    </xf>
    <xf numFmtId="3" fontId="5" fillId="36" borderId="12" xfId="0" applyNumberFormat="1" applyFont="1" applyFill="1" applyBorder="1" applyAlignment="1">
      <alignment horizontal="right"/>
    </xf>
    <xf numFmtId="3" fontId="25" fillId="36" borderId="0" xfId="0" applyNumberFormat="1" applyFont="1" applyFill="1" applyBorder="1" applyAlignment="1">
      <alignment/>
    </xf>
    <xf numFmtId="3" fontId="25" fillId="36" borderId="12" xfId="0" applyNumberFormat="1" applyFont="1" applyFill="1" applyBorder="1" applyAlignment="1">
      <alignment/>
    </xf>
    <xf numFmtId="3" fontId="25" fillId="0" borderId="0" xfId="0" applyNumberFormat="1" applyFont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1" xfId="0" applyNumberFormat="1" applyFont="1" applyBorder="1" applyAlignment="1">
      <alignment vertical="center" wrapText="1"/>
    </xf>
    <xf numFmtId="49" fontId="4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/>
    </xf>
    <xf numFmtId="3" fontId="25" fillId="0" borderId="12" xfId="0" applyNumberFormat="1" applyFont="1" applyFill="1" applyBorder="1" applyAlignment="1">
      <alignment/>
    </xf>
    <xf numFmtId="49" fontId="20" fillId="0" borderId="11" xfId="0" applyNumberFormat="1" applyFont="1" applyFill="1" applyBorder="1" applyAlignment="1">
      <alignment horizontal="center"/>
    </xf>
    <xf numFmtId="3" fontId="1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3" fontId="19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3" fontId="20" fillId="0" borderId="11" xfId="0" applyNumberFormat="1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4" xfId="0" applyFont="1" applyBorder="1" applyAlignment="1">
      <alignment horizontal="right"/>
    </xf>
    <xf numFmtId="0" fontId="15" fillId="0" borderId="0" xfId="0" applyFont="1" applyAlignment="1">
      <alignment horizontal="left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 horizontal="right"/>
    </xf>
    <xf numFmtId="3" fontId="4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167" fontId="19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165" fontId="19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/>
    </xf>
    <xf numFmtId="0" fontId="20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19" fillId="0" borderId="11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left"/>
    </xf>
    <xf numFmtId="183" fontId="4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3" fontId="4" fillId="0" borderId="15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/>
    </xf>
    <xf numFmtId="49" fontId="5" fillId="36" borderId="11" xfId="0" applyNumberFormat="1" applyFont="1" applyFill="1" applyBorder="1" applyAlignment="1">
      <alignment/>
    </xf>
    <xf numFmtId="3" fontId="25" fillId="36" borderId="14" xfId="0" applyNumberFormat="1" applyFont="1" applyFill="1" applyBorder="1" applyAlignment="1">
      <alignment/>
    </xf>
    <xf numFmtId="3" fontId="25" fillId="36" borderId="15" xfId="0" applyNumberFormat="1" applyFont="1" applyFill="1" applyBorder="1" applyAlignment="1">
      <alignment/>
    </xf>
    <xf numFmtId="49" fontId="5" fillId="36" borderId="12" xfId="0" applyNumberFormat="1" applyFont="1" applyFill="1" applyBorder="1" applyAlignment="1">
      <alignment/>
    </xf>
    <xf numFmtId="3" fontId="23" fillId="36" borderId="0" xfId="0" applyNumberFormat="1" applyFont="1" applyFill="1" applyBorder="1" applyAlignment="1">
      <alignment/>
    </xf>
    <xf numFmtId="49" fontId="18" fillId="36" borderId="11" xfId="0" applyNumberFormat="1" applyFont="1" applyFill="1" applyBorder="1" applyAlignment="1">
      <alignment/>
    </xf>
    <xf numFmtId="0" fontId="18" fillId="36" borderId="0" xfId="0" applyFont="1" applyFill="1" applyAlignment="1">
      <alignment/>
    </xf>
    <xf numFmtId="3" fontId="18" fillId="36" borderId="0" xfId="0" applyNumberFormat="1" applyFont="1" applyFill="1" applyBorder="1" applyAlignment="1">
      <alignment/>
    </xf>
    <xf numFmtId="3" fontId="18" fillId="36" borderId="12" xfId="0" applyNumberFormat="1" applyFont="1" applyFill="1" applyBorder="1" applyAlignment="1">
      <alignment/>
    </xf>
    <xf numFmtId="49" fontId="18" fillId="0" borderId="11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3" fontId="18" fillId="0" borderId="0" xfId="0" applyNumberFormat="1" applyFont="1" applyFill="1" applyBorder="1" applyAlignment="1">
      <alignment/>
    </xf>
    <xf numFmtId="3" fontId="18" fillId="0" borderId="12" xfId="0" applyNumberFormat="1" applyFont="1" applyFill="1" applyBorder="1" applyAlignment="1">
      <alignment/>
    </xf>
    <xf numFmtId="3" fontId="5" fillId="36" borderId="12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165" fontId="25" fillId="0" borderId="15" xfId="0" applyNumberFormat="1" applyFont="1" applyFill="1" applyBorder="1" applyAlignment="1">
      <alignment horizontal="right"/>
    </xf>
    <xf numFmtId="165" fontId="5" fillId="0" borderId="15" xfId="0" applyNumberFormat="1" applyFont="1" applyFill="1" applyBorder="1" applyAlignment="1">
      <alignment horizontal="right"/>
    </xf>
    <xf numFmtId="3" fontId="28" fillId="0" borderId="0" xfId="0" applyNumberFormat="1" applyFont="1" applyAlignment="1">
      <alignment horizontal="right" vertical="center"/>
    </xf>
    <xf numFmtId="3" fontId="0" fillId="0" borderId="15" xfId="0" applyNumberFormat="1" applyBorder="1" applyAlignment="1">
      <alignment horizontal="right"/>
    </xf>
    <xf numFmtId="0" fontId="34" fillId="37" borderId="0" xfId="0" applyFont="1" applyFill="1" applyBorder="1" applyAlignment="1">
      <alignment horizontal="center" vertical="top" wrapText="1"/>
    </xf>
    <xf numFmtId="165" fontId="34" fillId="37" borderId="0" xfId="0" applyNumberFormat="1" applyFont="1" applyFill="1" applyBorder="1" applyAlignment="1">
      <alignment horizontal="center"/>
    </xf>
    <xf numFmtId="3" fontId="19" fillId="0" borderId="0" xfId="0" applyNumberFormat="1" applyFont="1" applyAlignment="1">
      <alignment/>
    </xf>
    <xf numFmtId="0" fontId="4" fillId="0" borderId="11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19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3" fontId="38" fillId="0" borderId="0" xfId="0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right"/>
    </xf>
    <xf numFmtId="3" fontId="38" fillId="0" borderId="12" xfId="0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15" fillId="0" borderId="14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2" fontId="9" fillId="34" borderId="0" xfId="0" applyNumberFormat="1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4" fillId="34" borderId="0" xfId="0" applyFont="1" applyFill="1" applyBorder="1" applyAlignment="1">
      <alignment/>
    </xf>
    <xf numFmtId="2" fontId="4" fillId="34" borderId="12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11" xfId="0" applyFont="1" applyFill="1" applyBorder="1" applyAlignment="1">
      <alignment/>
    </xf>
    <xf numFmtId="166" fontId="4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left"/>
    </xf>
    <xf numFmtId="3" fontId="0" fillId="0" borderId="22" xfId="0" applyNumberForma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19" fillId="0" borderId="0" xfId="0" applyNumberFormat="1" applyFont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12" xfId="0" applyNumberFormat="1" applyFont="1" applyBorder="1" applyAlignment="1">
      <alignment horizontal="center" wrapText="1"/>
    </xf>
    <xf numFmtId="0" fontId="9" fillId="34" borderId="12" xfId="0" applyFont="1" applyFill="1" applyBorder="1" applyAlignment="1">
      <alignment/>
    </xf>
    <xf numFmtId="0" fontId="9" fillId="34" borderId="0" xfId="0" applyFont="1" applyFill="1" applyAlignment="1">
      <alignment/>
    </xf>
    <xf numFmtId="2" fontId="4" fillId="34" borderId="0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0" borderId="18" xfId="0" applyFont="1" applyBorder="1" applyAlignment="1">
      <alignment/>
    </xf>
    <xf numFmtId="165" fontId="33" fillId="0" borderId="0" xfId="0" applyNumberFormat="1" applyFont="1" applyAlignment="1">
      <alignment/>
    </xf>
    <xf numFmtId="165" fontId="28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/>
    </xf>
    <xf numFmtId="3" fontId="4" fillId="0" borderId="15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center"/>
    </xf>
    <xf numFmtId="3" fontId="28" fillId="0" borderId="0" xfId="0" applyNumberFormat="1" applyFont="1" applyBorder="1" applyAlignment="1">
      <alignment horizontal="right" vertical="center"/>
    </xf>
    <xf numFmtId="183" fontId="4" fillId="0" borderId="0" xfId="0" applyNumberFormat="1" applyFont="1" applyAlignment="1">
      <alignment/>
    </xf>
    <xf numFmtId="3" fontId="4" fillId="0" borderId="19" xfId="0" applyNumberFormat="1" applyFont="1" applyBorder="1" applyAlignment="1">
      <alignment/>
    </xf>
    <xf numFmtId="0" fontId="4" fillId="0" borderId="25" xfId="0" applyFont="1" applyBorder="1" applyAlignment="1">
      <alignment/>
    </xf>
    <xf numFmtId="165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165" fontId="29" fillId="0" borderId="0" xfId="0" applyNumberFormat="1" applyFont="1" applyBorder="1" applyAlignment="1">
      <alignment/>
    </xf>
    <xf numFmtId="49" fontId="17" fillId="0" borderId="14" xfId="0" applyNumberFormat="1" applyFont="1" applyBorder="1" applyAlignment="1">
      <alignment/>
    </xf>
    <xf numFmtId="0" fontId="9" fillId="0" borderId="16" xfId="0" applyFont="1" applyBorder="1" applyAlignment="1">
      <alignment/>
    </xf>
    <xf numFmtId="3" fontId="25" fillId="0" borderId="12" xfId="0" applyNumberFormat="1" applyFont="1" applyBorder="1" applyAlignment="1">
      <alignment horizontal="right"/>
    </xf>
    <xf numFmtId="3" fontId="29" fillId="0" borderId="12" xfId="0" applyNumberFormat="1" applyFont="1" applyBorder="1" applyAlignment="1">
      <alignment horizontal="right"/>
    </xf>
    <xf numFmtId="49" fontId="19" fillId="0" borderId="14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30" fillId="0" borderId="12" xfId="0" applyNumberFormat="1" applyFont="1" applyBorder="1" applyAlignment="1">
      <alignment horizontal="right"/>
    </xf>
    <xf numFmtId="0" fontId="9" fillId="0" borderId="13" xfId="0" applyFont="1" applyBorder="1" applyAlignment="1">
      <alignment/>
    </xf>
    <xf numFmtId="0" fontId="4" fillId="38" borderId="11" xfId="0" applyFont="1" applyFill="1" applyBorder="1" applyAlignment="1">
      <alignment wrapText="1"/>
    </xf>
    <xf numFmtId="3" fontId="38" fillId="38" borderId="0" xfId="0" applyNumberFormat="1" applyFont="1" applyFill="1" applyBorder="1" applyAlignment="1">
      <alignment horizontal="center"/>
    </xf>
    <xf numFmtId="3" fontId="38" fillId="38" borderId="0" xfId="0" applyNumberFormat="1" applyFont="1" applyFill="1" applyBorder="1" applyAlignment="1">
      <alignment horizontal="right"/>
    </xf>
    <xf numFmtId="3" fontId="38" fillId="38" borderId="12" xfId="0" applyNumberFormat="1" applyFont="1" applyFill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19" fillId="0" borderId="0" xfId="0" applyNumberFormat="1" applyFont="1" applyBorder="1" applyAlignment="1">
      <alignment horizontal="center"/>
    </xf>
    <xf numFmtId="9" fontId="4" fillId="0" borderId="12" xfId="0" applyNumberFormat="1" applyFont="1" applyBorder="1" applyAlignment="1">
      <alignment/>
    </xf>
    <xf numFmtId="9" fontId="4" fillId="0" borderId="17" xfId="0" applyNumberFormat="1" applyFont="1" applyBorder="1" applyAlignment="1">
      <alignment/>
    </xf>
    <xf numFmtId="0" fontId="19" fillId="0" borderId="14" xfId="0" applyFont="1" applyBorder="1" applyAlignment="1">
      <alignment/>
    </xf>
    <xf numFmtId="165" fontId="4" fillId="0" borderId="15" xfId="0" applyNumberFormat="1" applyFont="1" applyBorder="1" applyAlignment="1">
      <alignment/>
    </xf>
    <xf numFmtId="166" fontId="4" fillId="0" borderId="15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165" fontId="4" fillId="37" borderId="12" xfId="0" applyNumberFormat="1" applyFont="1" applyFill="1" applyBorder="1" applyAlignment="1">
      <alignment/>
    </xf>
    <xf numFmtId="9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9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9" fillId="37" borderId="0" xfId="0" applyFont="1" applyFill="1" applyAlignment="1">
      <alignment/>
    </xf>
    <xf numFmtId="3" fontId="9" fillId="37" borderId="0" xfId="0" applyNumberFormat="1" applyFont="1" applyFill="1" applyAlignment="1">
      <alignment/>
    </xf>
    <xf numFmtId="0" fontId="0" fillId="37" borderId="0" xfId="0" applyFill="1" applyAlignment="1">
      <alignment/>
    </xf>
    <xf numFmtId="3" fontId="9" fillId="0" borderId="0" xfId="0" applyNumberFormat="1" applyFont="1" applyAlignment="1">
      <alignment wrapText="1"/>
    </xf>
    <xf numFmtId="3" fontId="4" fillId="37" borderId="0" xfId="0" applyNumberFormat="1" applyFont="1" applyFill="1" applyAlignment="1">
      <alignment/>
    </xf>
    <xf numFmtId="165" fontId="51" fillId="0" borderId="0" xfId="0" applyNumberFormat="1" applyFont="1" applyFill="1" applyAlignment="1">
      <alignment horizontal="right"/>
    </xf>
    <xf numFmtId="165" fontId="52" fillId="0" borderId="0" xfId="0" applyNumberFormat="1" applyFont="1" applyFill="1" applyAlignment="1">
      <alignment horizontal="center"/>
    </xf>
    <xf numFmtId="3" fontId="53" fillId="0" borderId="0" xfId="0" applyNumberFormat="1" applyFont="1" applyAlignment="1">
      <alignment horizontal="right" vertical="center"/>
    </xf>
    <xf numFmtId="0" fontId="5" fillId="0" borderId="25" xfId="0" applyFont="1" applyBorder="1" applyAlignment="1">
      <alignment/>
    </xf>
    <xf numFmtId="165" fontId="52" fillId="0" borderId="0" xfId="0" applyNumberFormat="1" applyFont="1" applyFill="1" applyAlignment="1">
      <alignment horizontal="right"/>
    </xf>
    <xf numFmtId="3" fontId="54" fillId="0" borderId="17" xfId="0" applyNumberFormat="1" applyFont="1" applyBorder="1" applyAlignment="1">
      <alignment horizontal="center"/>
    </xf>
    <xf numFmtId="165" fontId="51" fillId="0" borderId="18" xfId="0" applyNumberFormat="1" applyFont="1" applyFill="1" applyBorder="1" applyAlignment="1">
      <alignment horizontal="left"/>
    </xf>
    <xf numFmtId="165" fontId="51" fillId="0" borderId="0" xfId="0" applyNumberFormat="1" applyFont="1" applyFill="1" applyAlignment="1">
      <alignment horizontal="left"/>
    </xf>
    <xf numFmtId="3" fontId="53" fillId="0" borderId="0" xfId="0" applyNumberFormat="1" applyFont="1" applyFill="1" applyAlignment="1">
      <alignment horizontal="center"/>
    </xf>
    <xf numFmtId="0" fontId="53" fillId="0" borderId="0" xfId="0" applyFont="1" applyAlignment="1">
      <alignment/>
    </xf>
    <xf numFmtId="3" fontId="54" fillId="0" borderId="13" xfId="0" applyNumberFormat="1" applyFont="1" applyBorder="1" applyAlignment="1">
      <alignment horizontal="right"/>
    </xf>
    <xf numFmtId="3" fontId="54" fillId="0" borderId="10" xfId="0" applyNumberFormat="1" applyFont="1" applyBorder="1" applyAlignment="1">
      <alignment horizontal="center"/>
    </xf>
    <xf numFmtId="3" fontId="54" fillId="0" borderId="15" xfId="0" applyNumberFormat="1" applyFont="1" applyBorder="1" applyAlignment="1">
      <alignment horizontal="right"/>
    </xf>
    <xf numFmtId="3" fontId="54" fillId="0" borderId="15" xfId="0" applyNumberFormat="1" applyFont="1" applyBorder="1" applyAlignment="1">
      <alignment horizontal="center"/>
    </xf>
    <xf numFmtId="3" fontId="54" fillId="0" borderId="0" xfId="0" applyNumberFormat="1" applyFont="1" applyBorder="1" applyAlignment="1">
      <alignment horizontal="center"/>
    </xf>
    <xf numFmtId="3" fontId="25" fillId="0" borderId="18" xfId="0" applyNumberFormat="1" applyFont="1" applyBorder="1" applyAlignment="1">
      <alignment horizontal="center"/>
    </xf>
    <xf numFmtId="3" fontId="25" fillId="0" borderId="19" xfId="0" applyNumberFormat="1" applyFont="1" applyBorder="1" applyAlignment="1">
      <alignment horizontal="center"/>
    </xf>
    <xf numFmtId="3" fontId="25" fillId="0" borderId="19" xfId="0" applyNumberFormat="1" applyFont="1" applyBorder="1" applyAlignment="1">
      <alignment/>
    </xf>
    <xf numFmtId="0" fontId="25" fillId="0" borderId="19" xfId="0" applyFont="1" applyBorder="1" applyAlignment="1">
      <alignment horizontal="center"/>
    </xf>
    <xf numFmtId="3" fontId="25" fillId="0" borderId="25" xfId="0" applyNumberFormat="1" applyFont="1" applyBorder="1" applyAlignment="1">
      <alignment horizontal="right"/>
    </xf>
    <xf numFmtId="5" fontId="28" fillId="0" borderId="0" xfId="44" applyNumberFormat="1" applyFont="1" applyAlignment="1">
      <alignment vertical="top"/>
    </xf>
    <xf numFmtId="49" fontId="18" fillId="0" borderId="11" xfId="0" applyNumberFormat="1" applyFont="1" applyBorder="1" applyAlignment="1">
      <alignment/>
    </xf>
    <xf numFmtId="49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GRT%20Prediction%20with%20Apr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5.7\Documents%20and%20Settings\Mayor\My%20Documents\Budget\Wastewater%20Funding%209-7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6"/>
      <sheetName val="Data"/>
    </sheetNames>
    <sheetDataSet>
      <sheetData sheetId="1">
        <row r="10">
          <cell r="O10">
            <v>195377.91907074797</v>
          </cell>
        </row>
        <row r="11">
          <cell r="O11">
            <v>987126.3687923305</v>
          </cell>
        </row>
        <row r="12">
          <cell r="O12">
            <v>984695.6721369216</v>
          </cell>
        </row>
        <row r="13">
          <cell r="Q13">
            <v>197425.2851423866</v>
          </cell>
        </row>
        <row r="14">
          <cell r="Q14">
            <v>394850.5702847732</v>
          </cell>
        </row>
        <row r="15">
          <cell r="Q15">
            <v>394850.51336517074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nding"/>
      <sheetName val="Costs"/>
      <sheetName val="Construction Contracts"/>
    </sheetNames>
    <sheetDataSet>
      <sheetData sheetId="1">
        <row r="14">
          <cell r="C14">
            <v>6260000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zoomScale="130" zoomScaleNormal="130" zoomScalePageLayoutView="0" workbookViewId="0" topLeftCell="A45">
      <selection activeCell="C60" sqref="C60"/>
    </sheetView>
  </sheetViews>
  <sheetFormatPr defaultColWidth="9.140625" defaultRowHeight="12.75"/>
  <cols>
    <col min="1" max="1" width="7.7109375" style="202" customWidth="1"/>
    <col min="2" max="2" width="49.8515625" style="52" customWidth="1"/>
    <col min="3" max="3" width="11.28125" style="255" customWidth="1"/>
    <col min="4" max="4" width="10.00390625" style="2" customWidth="1"/>
    <col min="5" max="5" width="10.7109375" style="2" bestFit="1" customWidth="1"/>
    <col min="6" max="6" width="12.28125" style="202" customWidth="1"/>
    <col min="7" max="7" width="9.7109375" style="2" customWidth="1"/>
  </cols>
  <sheetData>
    <row r="1" spans="1:7" s="135" customFormat="1" ht="27.75" customHeight="1">
      <c r="A1" s="300"/>
      <c r="B1" s="392" t="s">
        <v>816</v>
      </c>
      <c r="C1" s="301" t="s">
        <v>1049</v>
      </c>
      <c r="D1" s="384"/>
      <c r="E1" s="369" t="s">
        <v>1139</v>
      </c>
      <c r="F1" s="370" t="s">
        <v>1179</v>
      </c>
      <c r="G1" s="373"/>
    </row>
    <row r="2" spans="1:9" s="2" customFormat="1" ht="13.5" thickBot="1">
      <c r="A2" s="302">
        <v>2</v>
      </c>
      <c r="B2" s="455" t="s">
        <v>1137</v>
      </c>
      <c r="C2" s="456">
        <v>7</v>
      </c>
      <c r="D2" s="215"/>
      <c r="E2" s="371">
        <f>Payroll!AF27/Payroll!V27</f>
        <v>64306.301881051244</v>
      </c>
      <c r="F2" s="372">
        <v>79985</v>
      </c>
      <c r="G2" s="374"/>
      <c r="I2" s="61"/>
    </row>
    <row r="3" spans="1:9" s="2" customFormat="1" ht="40.5" customHeight="1">
      <c r="A3" s="303"/>
      <c r="B3" s="459"/>
      <c r="C3" s="460" t="s">
        <v>1135</v>
      </c>
      <c r="D3" s="461" t="s">
        <v>1134</v>
      </c>
      <c r="E3" s="369" t="s">
        <v>1139</v>
      </c>
      <c r="F3" s="462" t="s">
        <v>1407</v>
      </c>
      <c r="G3" s="373"/>
      <c r="I3" s="61"/>
    </row>
    <row r="4" spans="1:7" s="135" customFormat="1" ht="15.75" customHeight="1" thickBot="1">
      <c r="A4" s="252"/>
      <c r="B4" s="463" t="s">
        <v>1136</v>
      </c>
      <c r="C4" s="464">
        <v>0</v>
      </c>
      <c r="D4" s="400">
        <v>25</v>
      </c>
      <c r="E4" s="465">
        <f>Payroll!U28</f>
        <v>0</v>
      </c>
      <c r="F4" s="466">
        <v>56559</v>
      </c>
      <c r="G4" s="386"/>
    </row>
    <row r="5" spans="1:7" s="135" customFormat="1" ht="15.75" customHeight="1" thickBot="1">
      <c r="A5" s="252"/>
      <c r="B5" s="457" t="s">
        <v>1138</v>
      </c>
      <c r="C5" s="458">
        <f>C2+C4/40</f>
        <v>7</v>
      </c>
      <c r="E5" s="387"/>
      <c r="F5" s="400"/>
      <c r="G5" s="386"/>
    </row>
    <row r="6" spans="1:7" s="398" customFormat="1" ht="15.75" thickBot="1">
      <c r="A6" s="395"/>
      <c r="B6" s="399" t="s">
        <v>1096</v>
      </c>
      <c r="C6" s="396">
        <f>'Budget Sum'!K24</f>
        <v>266.5715206563473</v>
      </c>
      <c r="D6" s="397"/>
      <c r="E6" s="2"/>
      <c r="F6" s="405"/>
      <c r="G6" s="397"/>
    </row>
    <row r="7" spans="1:7" s="398" customFormat="1" ht="15.75" thickBot="1">
      <c r="A7" s="395"/>
      <c r="B7" s="574"/>
      <c r="C7" s="575"/>
      <c r="D7" s="397"/>
      <c r="E7" s="2"/>
      <c r="F7" s="405"/>
      <c r="G7" s="397"/>
    </row>
    <row r="8" spans="2:5" ht="12.75">
      <c r="B8" s="53" t="s">
        <v>1347</v>
      </c>
      <c r="C8" s="301"/>
      <c r="D8" s="525"/>
      <c r="E8" s="69"/>
    </row>
    <row r="9" spans="2:6" ht="12.75">
      <c r="B9" s="577"/>
      <c r="C9" s="578"/>
      <c r="D9" s="579" t="s">
        <v>1341</v>
      </c>
      <c r="E9" s="580">
        <v>56885</v>
      </c>
      <c r="F9" s="606"/>
    </row>
    <row r="10" spans="2:6" ht="12.75">
      <c r="B10" s="577" t="s">
        <v>1354</v>
      </c>
      <c r="C10" s="578"/>
      <c r="D10" s="579" t="s">
        <v>1418</v>
      </c>
      <c r="E10" s="581">
        <v>-85387</v>
      </c>
      <c r="F10" s="606"/>
    </row>
    <row r="11" spans="2:6" ht="12.75">
      <c r="B11" s="577"/>
      <c r="C11" s="578"/>
      <c r="D11" s="579"/>
      <c r="E11" s="581"/>
      <c r="F11" s="606"/>
    </row>
    <row r="12" spans="2:6" ht="12.75">
      <c r="B12" s="577"/>
      <c r="C12" s="578"/>
      <c r="D12" s="579" t="s">
        <v>1398</v>
      </c>
      <c r="E12" s="581">
        <v>60000</v>
      </c>
      <c r="F12" s="606" t="s">
        <v>1394</v>
      </c>
    </row>
    <row r="13" spans="2:5" ht="12.75">
      <c r="B13" s="577"/>
      <c r="C13" s="578"/>
      <c r="D13" s="579" t="s">
        <v>1342</v>
      </c>
      <c r="E13" s="581">
        <v>-500</v>
      </c>
    </row>
    <row r="14" spans="2:5" ht="12.75">
      <c r="B14" s="577"/>
      <c r="C14" s="578"/>
      <c r="D14" s="579" t="s">
        <v>1343</v>
      </c>
      <c r="E14" s="581">
        <v>-500</v>
      </c>
    </row>
    <row r="15" spans="2:6" ht="12.75">
      <c r="B15" s="577"/>
      <c r="C15" s="578"/>
      <c r="D15" s="579" t="s">
        <v>1351</v>
      </c>
      <c r="E15" s="581">
        <f>-'Rented Bldg-Old 66'!F22</f>
        <v>-8581.39</v>
      </c>
      <c r="F15" s="402"/>
    </row>
    <row r="16" spans="2:6" ht="12.75">
      <c r="B16" s="577"/>
      <c r="C16" s="578"/>
      <c r="D16" s="579" t="s">
        <v>1344</v>
      </c>
      <c r="E16" s="581">
        <v>0</v>
      </c>
      <c r="F16" s="402"/>
    </row>
    <row r="17" spans="2:6" ht="12.75">
      <c r="B17" s="577"/>
      <c r="C17" s="578"/>
      <c r="D17" s="579" t="s">
        <v>1345</v>
      </c>
      <c r="E17" s="581">
        <v>0</v>
      </c>
      <c r="F17" s="402"/>
    </row>
    <row r="18" spans="2:5" ht="12.75">
      <c r="B18" s="577"/>
      <c r="C18" s="578"/>
      <c r="D18" s="579" t="s">
        <v>1346</v>
      </c>
      <c r="E18" s="581">
        <v>3500</v>
      </c>
    </row>
    <row r="19" spans="2:5" ht="12.75">
      <c r="B19" s="577"/>
      <c r="C19" s="578"/>
      <c r="D19" s="579" t="s">
        <v>1348</v>
      </c>
      <c r="E19" s="581">
        <v>-5861</v>
      </c>
    </row>
    <row r="20" spans="2:6" ht="12.75">
      <c r="B20" s="577"/>
      <c r="C20" s="578"/>
      <c r="D20" s="579" t="s">
        <v>1349</v>
      </c>
      <c r="E20" s="581">
        <v>-718</v>
      </c>
      <c r="F20" s="402"/>
    </row>
    <row r="21" spans="4:6" ht="12.75">
      <c r="D21" s="622" t="s">
        <v>1408</v>
      </c>
      <c r="E21" s="402">
        <f>'Budget Detail'!F589-'Budget Detail'!E589</f>
        <v>16356</v>
      </c>
      <c r="F21" s="606" t="s">
        <v>1396</v>
      </c>
    </row>
    <row r="22" spans="4:6" ht="12.75">
      <c r="D22" s="622" t="s">
        <v>1401</v>
      </c>
      <c r="E22" s="402">
        <v>-3156</v>
      </c>
      <c r="F22" s="606" t="s">
        <v>1409</v>
      </c>
    </row>
    <row r="23" spans="2:6" ht="12.75">
      <c r="B23" s="577"/>
      <c r="C23" s="578"/>
      <c r="D23" s="579" t="s">
        <v>1386</v>
      </c>
      <c r="E23" s="581">
        <f>'Budget Detail'!F579-'Budget Detail'!E579</f>
        <v>-48660</v>
      </c>
      <c r="F23" s="519"/>
    </row>
    <row r="24" spans="2:6" ht="12.75">
      <c r="B24" s="577"/>
      <c r="C24" s="578"/>
      <c r="D24" s="579" t="s">
        <v>1411</v>
      </c>
      <c r="E24" s="580">
        <f>34291-15000</f>
        <v>19291</v>
      </c>
      <c r="F24" s="519"/>
    </row>
    <row r="25" spans="2:7" ht="15">
      <c r="B25" s="641"/>
      <c r="C25" s="642"/>
      <c r="D25" s="643" t="s">
        <v>1419</v>
      </c>
      <c r="E25" s="644">
        <f>SUM(E9:E24)</f>
        <v>2668.6100000000006</v>
      </c>
      <c r="F25" s="402"/>
      <c r="G25" s="61"/>
    </row>
    <row r="26" spans="2:7" ht="15.75" thickBot="1">
      <c r="B26" s="577"/>
      <c r="C26" s="586"/>
      <c r="D26" s="587"/>
      <c r="E26" s="588"/>
      <c r="F26" s="402"/>
      <c r="G26" s="61"/>
    </row>
    <row r="27" spans="2:7" ht="15">
      <c r="B27" s="637" t="s">
        <v>1417</v>
      </c>
      <c r="C27" s="634"/>
      <c r="D27" s="587"/>
      <c r="E27" s="588"/>
      <c r="F27" s="402"/>
      <c r="G27" s="61"/>
    </row>
    <row r="28" spans="2:7" ht="15">
      <c r="B28" s="638" t="s">
        <v>1415</v>
      </c>
      <c r="C28" s="96">
        <v>31250</v>
      </c>
      <c r="D28" s="587"/>
      <c r="E28" s="588"/>
      <c r="F28" s="402"/>
      <c r="G28" s="61"/>
    </row>
    <row r="29" spans="2:7" ht="15">
      <c r="B29" s="638" t="s">
        <v>1416</v>
      </c>
      <c r="C29" s="98">
        <v>20000</v>
      </c>
      <c r="D29" s="587"/>
      <c r="E29" s="588"/>
      <c r="F29" s="402"/>
      <c r="G29" s="61"/>
    </row>
    <row r="30" spans="2:7" ht="15">
      <c r="B30" s="638" t="s">
        <v>1214</v>
      </c>
      <c r="C30" s="639">
        <f>C31-C28-C29</f>
        <v>37557</v>
      </c>
      <c r="D30" s="587"/>
      <c r="E30" s="588"/>
      <c r="F30" s="402"/>
      <c r="G30" s="61"/>
    </row>
    <row r="31" spans="2:7" ht="15.75" thickBot="1">
      <c r="B31" s="640"/>
      <c r="C31" s="100">
        <v>88807</v>
      </c>
      <c r="D31" s="587"/>
      <c r="E31" s="588"/>
      <c r="F31" s="402"/>
      <c r="G31" s="61"/>
    </row>
    <row r="32" spans="2:7" ht="15">
      <c r="B32" s="577"/>
      <c r="C32" s="586"/>
      <c r="D32" s="587"/>
      <c r="E32" s="588"/>
      <c r="F32" s="402"/>
      <c r="G32" s="61"/>
    </row>
    <row r="33" spans="2:6" ht="15">
      <c r="B33" s="577" t="s">
        <v>1403</v>
      </c>
      <c r="C33" s="586"/>
      <c r="D33" s="587"/>
      <c r="E33" s="588"/>
      <c r="F33" s="604"/>
    </row>
    <row r="34" spans="2:6" ht="15">
      <c r="B34" s="577" t="s">
        <v>1404</v>
      </c>
      <c r="C34" s="586"/>
      <c r="D34" s="587"/>
      <c r="E34" s="581">
        <f>'5 yr Budget'!C75</f>
        <v>-20000</v>
      </c>
      <c r="F34" s="604"/>
    </row>
    <row r="35" spans="2:6" ht="15">
      <c r="B35" s="577" t="s">
        <v>1406</v>
      </c>
      <c r="C35" s="586"/>
      <c r="D35" s="587"/>
      <c r="E35" s="578">
        <f>'5 yr Budget'!C70</f>
        <v>-178820</v>
      </c>
      <c r="F35" s="604"/>
    </row>
    <row r="36" spans="2:6" ht="15">
      <c r="B36" s="589" t="s">
        <v>1405</v>
      </c>
      <c r="C36" s="586"/>
      <c r="D36" s="587"/>
      <c r="E36" s="519">
        <f>-'5 yr Budget'!C41</f>
        <v>-24000</v>
      </c>
      <c r="F36" s="604"/>
    </row>
    <row r="37" spans="2:6" ht="15">
      <c r="B37" s="577"/>
      <c r="C37" s="586"/>
      <c r="D37" s="587"/>
      <c r="E37" s="588">
        <f>SUM(E34:E36)</f>
        <v>-222820</v>
      </c>
      <c r="F37" s="604"/>
    </row>
    <row r="38" spans="2:6" ht="15.75" thickBot="1">
      <c r="B38" s="577"/>
      <c r="C38" s="586"/>
      <c r="D38" s="587"/>
      <c r="E38" s="588"/>
      <c r="F38" s="604"/>
    </row>
    <row r="39" spans="2:6" ht="12.75">
      <c r="B39" s="623" t="s">
        <v>1399</v>
      </c>
      <c r="C39" s="301"/>
      <c r="D39" s="624"/>
      <c r="E39" s="625"/>
      <c r="F39" s="402"/>
    </row>
    <row r="40" spans="2:5" ht="12.75">
      <c r="B40" s="589" t="s">
        <v>1353</v>
      </c>
      <c r="C40" s="578"/>
      <c r="D40" s="579"/>
      <c r="E40" s="581"/>
    </row>
    <row r="41" spans="2:5" ht="12.75">
      <c r="B41" s="589" t="s">
        <v>1352</v>
      </c>
      <c r="C41" s="578"/>
      <c r="D41" s="579"/>
      <c r="E41" s="581"/>
    </row>
    <row r="42" spans="2:5" ht="13.5" thickBot="1">
      <c r="B42" s="590" t="s">
        <v>1400</v>
      </c>
      <c r="C42" s="582"/>
      <c r="D42" s="583"/>
      <c r="E42" s="584"/>
    </row>
    <row r="43" ht="12.75">
      <c r="B43" s="585"/>
    </row>
    <row r="44" spans="1:7" s="135" customFormat="1" ht="16.5" customHeight="1" thickBot="1">
      <c r="A44" s="203" t="s">
        <v>944</v>
      </c>
      <c r="B44" s="251"/>
      <c r="C44" s="378"/>
      <c r="D44" s="203" t="s">
        <v>1044</v>
      </c>
      <c r="E44" s="251"/>
      <c r="F44" s="252"/>
      <c r="G44" s="251"/>
    </row>
    <row r="45" spans="1:7" s="135" customFormat="1" ht="12.75" customHeight="1">
      <c r="A45" s="256"/>
      <c r="B45" s="384" t="s">
        <v>70</v>
      </c>
      <c r="C45" s="406">
        <v>24000</v>
      </c>
      <c r="D45" s="385">
        <v>30000</v>
      </c>
      <c r="E45" s="380" t="s">
        <v>1086</v>
      </c>
      <c r="F45" s="404"/>
      <c r="G45" s="251"/>
    </row>
    <row r="46" spans="1:7" s="135" customFormat="1" ht="16.5" customHeight="1">
      <c r="A46" s="203"/>
      <c r="B46" s="251"/>
      <c r="C46" s="378"/>
      <c r="D46" s="203"/>
      <c r="E46" s="251"/>
      <c r="F46" s="252"/>
      <c r="G46" s="251"/>
    </row>
    <row r="47" spans="1:9" s="30" customFormat="1" ht="15">
      <c r="A47" s="389">
        <v>5</v>
      </c>
      <c r="B47" s="390" t="s">
        <v>1091</v>
      </c>
      <c r="C47" s="257"/>
      <c r="D47" s="246"/>
      <c r="E47" s="246"/>
      <c r="F47" s="403"/>
      <c r="G47" s="207"/>
      <c r="I47" s="204"/>
    </row>
    <row r="48" spans="1:9" ht="12.75">
      <c r="A48" s="252"/>
      <c r="B48" s="52" t="s">
        <v>1338</v>
      </c>
      <c r="C48" s="258">
        <v>0</v>
      </c>
      <c r="D48" s="61">
        <v>33791</v>
      </c>
      <c r="E48" s="61" t="s">
        <v>1083</v>
      </c>
      <c r="F48" s="402"/>
      <c r="I48" s="26"/>
    </row>
    <row r="49" spans="2:7" ht="12.75">
      <c r="B49" s="52" t="s">
        <v>1204</v>
      </c>
      <c r="C49" s="388">
        <v>5000</v>
      </c>
      <c r="D49" s="254">
        <f>C49+G49</f>
        <v>58200</v>
      </c>
      <c r="E49" s="207" t="s">
        <v>1205</v>
      </c>
      <c r="F49" s="247"/>
      <c r="G49" s="254">
        <f>'Budget Detail'!E459</f>
        <v>53200</v>
      </c>
    </row>
    <row r="50" spans="1:9" s="249" customFormat="1" ht="15" customHeight="1">
      <c r="A50" s="253"/>
      <c r="B50" s="18" t="s">
        <v>1339</v>
      </c>
      <c r="C50" s="382">
        <v>1</v>
      </c>
      <c r="D50" s="383">
        <v>51111</v>
      </c>
      <c r="E50" s="114" t="s">
        <v>1132</v>
      </c>
      <c r="F50" s="253"/>
      <c r="G50" s="114"/>
      <c r="I50" s="250"/>
    </row>
    <row r="51" ht="12.75">
      <c r="D51" s="61"/>
    </row>
    <row r="52" spans="1:9" s="30" customFormat="1" ht="15">
      <c r="A52" s="247"/>
      <c r="B52" s="393" t="s">
        <v>1090</v>
      </c>
      <c r="C52" s="257"/>
      <c r="D52" s="254"/>
      <c r="E52" s="254"/>
      <c r="F52" s="403"/>
      <c r="G52" s="207"/>
      <c r="I52" s="204"/>
    </row>
    <row r="53" spans="1:9" s="30" customFormat="1" ht="12.75">
      <c r="A53" s="247"/>
      <c r="B53" s="245" t="s">
        <v>1082</v>
      </c>
      <c r="C53" s="257">
        <v>0</v>
      </c>
      <c r="D53" s="246">
        <v>22800</v>
      </c>
      <c r="E53" s="246" t="s">
        <v>1085</v>
      </c>
      <c r="F53" s="403"/>
      <c r="G53" s="207"/>
      <c r="I53" s="204"/>
    </row>
    <row r="54" spans="1:7" s="135" customFormat="1" ht="16.5" customHeight="1">
      <c r="A54" s="203"/>
      <c r="B54" s="251"/>
      <c r="C54" s="378"/>
      <c r="D54" s="203"/>
      <c r="E54" s="251"/>
      <c r="F54" s="252"/>
      <c r="G54" s="251"/>
    </row>
    <row r="55" spans="1:9" s="33" customFormat="1" ht="15">
      <c r="A55" s="248"/>
      <c r="B55" s="390" t="s">
        <v>1087</v>
      </c>
      <c r="C55" s="257"/>
      <c r="D55" s="246"/>
      <c r="E55" s="246"/>
      <c r="F55" s="401"/>
      <c r="G55" s="19"/>
      <c r="I55" s="205"/>
    </row>
    <row r="56" spans="1:9" s="30" customFormat="1" ht="12.75">
      <c r="A56" s="247"/>
      <c r="B56" s="19" t="s">
        <v>369</v>
      </c>
      <c r="C56" s="257">
        <v>0</v>
      </c>
      <c r="D56" s="61">
        <f>2000*12</f>
        <v>24000</v>
      </c>
      <c r="E56" s="254"/>
      <c r="F56" s="403"/>
      <c r="G56" s="207"/>
      <c r="I56" s="204"/>
    </row>
    <row r="57" spans="1:9" s="30" customFormat="1" ht="12.75">
      <c r="A57" s="247"/>
      <c r="B57" s="19" t="s">
        <v>1057</v>
      </c>
      <c r="C57" s="257">
        <v>15000</v>
      </c>
      <c r="D57" s="61">
        <f>4*3750</f>
        <v>15000</v>
      </c>
      <c r="E57" s="254"/>
      <c r="F57" s="403"/>
      <c r="G57" s="207"/>
      <c r="I57" s="204"/>
    </row>
    <row r="58" spans="1:9" s="30" customFormat="1" ht="12.75">
      <c r="A58" s="247"/>
      <c r="B58" s="19" t="s">
        <v>1058</v>
      </c>
      <c r="C58" s="257">
        <v>0</v>
      </c>
      <c r="D58" s="61">
        <f>3037.77+1162.23</f>
        <v>4200</v>
      </c>
      <c r="E58" s="254"/>
      <c r="F58" s="403"/>
      <c r="G58" s="207"/>
      <c r="I58" s="204"/>
    </row>
    <row r="59" spans="1:9" s="30" customFormat="1" ht="12.75">
      <c r="A59" s="247"/>
      <c r="B59" s="674" t="s">
        <v>1059</v>
      </c>
      <c r="C59" s="673">
        <v>500</v>
      </c>
      <c r="D59" s="61">
        <v>18000</v>
      </c>
      <c r="E59" s="254"/>
      <c r="F59" s="403"/>
      <c r="G59" s="207"/>
      <c r="I59" s="204"/>
    </row>
    <row r="60" spans="1:9" s="30" customFormat="1" ht="12.75">
      <c r="A60" s="247"/>
      <c r="B60" s="19" t="s">
        <v>1060</v>
      </c>
      <c r="C60" s="257">
        <v>0</v>
      </c>
      <c r="D60" s="246">
        <v>403</v>
      </c>
      <c r="E60" s="254"/>
      <c r="F60" s="403"/>
      <c r="G60" s="207"/>
      <c r="I60" s="204"/>
    </row>
    <row r="61" spans="1:9" s="30" customFormat="1" ht="12.75">
      <c r="A61" s="247"/>
      <c r="B61" s="19" t="s">
        <v>1061</v>
      </c>
      <c r="C61" s="257">
        <v>1500</v>
      </c>
      <c r="D61" s="246">
        <v>1500</v>
      </c>
      <c r="E61" s="254"/>
      <c r="F61" s="403"/>
      <c r="G61" s="207"/>
      <c r="I61" s="204"/>
    </row>
    <row r="62" spans="1:9" s="30" customFormat="1" ht="12.75">
      <c r="A62" s="247"/>
      <c r="B62" s="19" t="s">
        <v>1062</v>
      </c>
      <c r="C62" s="257">
        <v>1675</v>
      </c>
      <c r="D62" s="61">
        <v>1675</v>
      </c>
      <c r="E62" s="254"/>
      <c r="F62" s="403"/>
      <c r="G62" s="207"/>
      <c r="I62" s="204"/>
    </row>
    <row r="63" spans="1:9" s="30" customFormat="1" ht="12.75">
      <c r="A63" s="247"/>
      <c r="B63" s="472">
        <f>SUM(C56:C62)</f>
        <v>18675</v>
      </c>
      <c r="C63" s="257"/>
      <c r="D63" s="61"/>
      <c r="E63" s="254"/>
      <c r="F63" s="403"/>
      <c r="G63" s="207"/>
      <c r="I63" s="204"/>
    </row>
    <row r="64" spans="1:9" s="30" customFormat="1" ht="12.75">
      <c r="A64" s="247"/>
      <c r="B64" s="246" t="s">
        <v>1102</v>
      </c>
      <c r="C64" s="257"/>
      <c r="D64" s="61"/>
      <c r="E64" s="254"/>
      <c r="F64" s="403"/>
      <c r="G64" s="207"/>
      <c r="I64" s="204"/>
    </row>
    <row r="65" spans="1:9" s="30" customFormat="1" ht="12.75">
      <c r="A65" s="247"/>
      <c r="B65" s="246" t="s">
        <v>867</v>
      </c>
      <c r="C65" s="257">
        <v>0</v>
      </c>
      <c r="D65" s="61">
        <v>15000</v>
      </c>
      <c r="E65" s="254"/>
      <c r="F65" s="403"/>
      <c r="G65" s="207"/>
      <c r="I65" s="204"/>
    </row>
    <row r="66" spans="1:9" s="30" customFormat="1" ht="12.75">
      <c r="A66" s="247"/>
      <c r="B66" s="246" t="s">
        <v>1098</v>
      </c>
      <c r="C66" s="257">
        <v>45000</v>
      </c>
      <c r="D66" s="61">
        <v>65400</v>
      </c>
      <c r="E66" s="254"/>
      <c r="F66" s="403"/>
      <c r="G66" s="207"/>
      <c r="I66" s="204"/>
    </row>
    <row r="67" spans="1:9" s="30" customFormat="1" ht="12.75">
      <c r="A67" s="247"/>
      <c r="B67" s="246" t="s">
        <v>1100</v>
      </c>
      <c r="C67" s="257">
        <v>1000</v>
      </c>
      <c r="D67" s="61">
        <v>1000</v>
      </c>
      <c r="E67" s="254"/>
      <c r="F67" s="403"/>
      <c r="G67" s="207"/>
      <c r="I67" s="204"/>
    </row>
    <row r="68" spans="1:9" s="30" customFormat="1" ht="12.75">
      <c r="A68" s="247"/>
      <c r="C68" s="257"/>
      <c r="D68" s="61"/>
      <c r="E68" s="254"/>
      <c r="F68" s="403"/>
      <c r="G68" s="207"/>
      <c r="I68" s="204"/>
    </row>
    <row r="69" spans="1:9" s="30" customFormat="1" ht="15">
      <c r="A69" s="247"/>
      <c r="B69" s="394" t="s">
        <v>1103</v>
      </c>
      <c r="C69" s="257"/>
      <c r="D69" s="61"/>
      <c r="E69" s="254"/>
      <c r="F69" s="403"/>
      <c r="G69" s="207"/>
      <c r="I69" s="204"/>
    </row>
    <row r="70" spans="1:7" s="135" customFormat="1" ht="12.75" customHeight="1">
      <c r="A70" s="252"/>
      <c r="B70" s="251" t="s">
        <v>1088</v>
      </c>
      <c r="C70" s="258"/>
      <c r="D70" s="379"/>
      <c r="E70" s="380"/>
      <c r="F70" s="404"/>
      <c r="G70" s="251"/>
    </row>
    <row r="71" spans="1:9" s="135" customFormat="1" ht="12.75">
      <c r="A71" s="252"/>
      <c r="B71" s="251" t="s">
        <v>865</v>
      </c>
      <c r="C71" s="296">
        <v>0.5</v>
      </c>
      <c r="D71" s="379">
        <v>37560</v>
      </c>
      <c r="E71" s="381" t="s">
        <v>1063</v>
      </c>
      <c r="F71" s="404"/>
      <c r="G71" s="251"/>
      <c r="I71" s="200"/>
    </row>
    <row r="72" spans="2:9" ht="12.75">
      <c r="B72" s="52" t="s">
        <v>1140</v>
      </c>
      <c r="C72" s="297">
        <v>0.5</v>
      </c>
      <c r="D72" s="61">
        <v>1418</v>
      </c>
      <c r="E72" s="61" t="s">
        <v>1064</v>
      </c>
      <c r="F72" s="402"/>
      <c r="I72" s="26"/>
    </row>
    <row r="73" spans="1:9" s="30" customFormat="1" ht="12.75">
      <c r="A73" s="247"/>
      <c r="B73" s="246"/>
      <c r="C73" s="257"/>
      <c r="D73" s="61"/>
      <c r="E73" s="254"/>
      <c r="F73" s="403"/>
      <c r="G73" s="207"/>
      <c r="I73" s="204"/>
    </row>
    <row r="74" spans="1:9" ht="15">
      <c r="A74" s="202">
        <v>4</v>
      </c>
      <c r="B74" s="391" t="s">
        <v>1089</v>
      </c>
      <c r="D74" s="61"/>
      <c r="E74" s="61"/>
      <c r="F74" s="402"/>
      <c r="I74" s="26"/>
    </row>
    <row r="75" spans="1:9" s="33" customFormat="1" ht="12.75">
      <c r="A75" s="248"/>
      <c r="B75" s="245" t="s">
        <v>1093</v>
      </c>
      <c r="C75" s="298">
        <v>1</v>
      </c>
      <c r="D75" s="246">
        <v>41597</v>
      </c>
      <c r="E75" s="19"/>
      <c r="F75" s="401"/>
      <c r="G75" s="19"/>
      <c r="I75" s="205"/>
    </row>
    <row r="76" spans="1:9" s="30" customFormat="1" ht="12.75">
      <c r="A76" s="247"/>
      <c r="B76" s="246" t="s">
        <v>953</v>
      </c>
      <c r="C76" s="257"/>
      <c r="D76" s="61"/>
      <c r="E76" s="254"/>
      <c r="F76" s="403"/>
      <c r="G76" s="207"/>
      <c r="I76" s="204"/>
    </row>
    <row r="78" spans="1:9" s="33" customFormat="1" ht="15">
      <c r="A78" s="248">
        <v>3</v>
      </c>
      <c r="B78" s="390" t="s">
        <v>1095</v>
      </c>
      <c r="C78" s="257"/>
      <c r="D78" s="246"/>
      <c r="E78" s="246"/>
      <c r="F78" s="401"/>
      <c r="G78" s="19"/>
      <c r="I78" s="205"/>
    </row>
    <row r="79" spans="1:9" s="33" customFormat="1" ht="12.75">
      <c r="A79" s="248"/>
      <c r="B79" s="19" t="s">
        <v>1092</v>
      </c>
      <c r="C79" s="257">
        <v>3000</v>
      </c>
      <c r="D79" s="246"/>
      <c r="E79" s="246"/>
      <c r="F79" s="401"/>
      <c r="G79" s="19"/>
      <c r="I79" s="205"/>
    </row>
    <row r="80" spans="1:9" s="33" customFormat="1" ht="12.75">
      <c r="A80" s="248"/>
      <c r="B80" s="245" t="s">
        <v>1097</v>
      </c>
      <c r="C80" s="257">
        <v>0</v>
      </c>
      <c r="D80" s="246"/>
      <c r="E80" s="246">
        <f>Payroll!U10</f>
        <v>46100.80737958018</v>
      </c>
      <c r="F80" s="401" t="s">
        <v>1094</v>
      </c>
      <c r="G80" s="19"/>
      <c r="I80" s="205"/>
    </row>
    <row r="82" spans="2:4" ht="42" customHeight="1" thickBot="1">
      <c r="B82" s="368" t="s">
        <v>1202</v>
      </c>
      <c r="D82" s="61"/>
    </row>
    <row r="84" ht="12.75">
      <c r="B84" s="2" t="s">
        <v>1048</v>
      </c>
    </row>
    <row r="85" ht="12.75">
      <c r="B85" s="52" t="s">
        <v>1056</v>
      </c>
    </row>
    <row r="93" ht="12.75">
      <c r="H93" s="106"/>
    </row>
    <row r="95" ht="12.75">
      <c r="B95" s="202"/>
    </row>
    <row r="96" spans="2:4" ht="12.75">
      <c r="B96" s="202"/>
      <c r="D96" s="202"/>
    </row>
    <row r="97" ht="12.75">
      <c r="B97" s="202"/>
    </row>
    <row r="98" ht="12.75">
      <c r="B98" s="202"/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43"/>
  <sheetViews>
    <sheetView zoomScalePageLayoutView="0" workbookViewId="0" topLeftCell="A19">
      <selection activeCell="D37" sqref="D37"/>
    </sheetView>
  </sheetViews>
  <sheetFormatPr defaultColWidth="9.140625" defaultRowHeight="12.75"/>
  <cols>
    <col min="1" max="1" width="13.7109375" style="0" customWidth="1"/>
    <col min="2" max="3" width="12.28125" style="0" customWidth="1"/>
    <col min="4" max="5" width="10.8515625" style="377" customWidth="1"/>
    <col min="6" max="6" width="10.28125" style="0" customWidth="1"/>
    <col min="7" max="8" width="11.00390625" style="0" customWidth="1"/>
    <col min="9" max="9" width="13.7109375" style="0" customWidth="1"/>
    <col min="10" max="10" width="3.00390625" style="0" customWidth="1"/>
    <col min="11" max="11" width="21.140625" style="29" customWidth="1"/>
    <col min="12" max="12" width="7.00390625" style="29" customWidth="1"/>
    <col min="13" max="13" width="7.7109375" style="29" customWidth="1"/>
    <col min="14" max="15" width="13.140625" style="0" customWidth="1"/>
    <col min="16" max="17" width="10.7109375" style="377" customWidth="1"/>
    <col min="18" max="20" width="13.140625" style="0" customWidth="1"/>
    <col min="21" max="21" width="13.140625" style="29" customWidth="1"/>
    <col min="22" max="22" width="5.28125" style="377" customWidth="1"/>
    <col min="23" max="23" width="7.57421875" style="0" customWidth="1"/>
    <col min="24" max="24" width="5.28125" style="0" customWidth="1"/>
    <col min="25" max="25" width="11.7109375" style="0" bestFit="1" customWidth="1"/>
    <col min="26" max="26" width="10.7109375" style="0" customWidth="1"/>
    <col min="27" max="28" width="10.7109375" style="377" customWidth="1"/>
    <col min="29" max="30" width="11.7109375" style="0" customWidth="1"/>
    <col min="31" max="31" width="9.421875" style="0" customWidth="1"/>
    <col min="32" max="32" width="13.140625" style="0" customWidth="1"/>
    <col min="33" max="33" width="3.00390625" style="0" customWidth="1"/>
    <col min="34" max="34" width="11.7109375" style="0" customWidth="1"/>
  </cols>
  <sheetData>
    <row r="1" spans="2:42" s="52" customFormat="1" ht="42" customHeight="1">
      <c r="B1" s="53" t="s">
        <v>873</v>
      </c>
      <c r="C1" s="54" t="s">
        <v>309</v>
      </c>
      <c r="D1" s="444" t="str">
        <f>P1</f>
        <v>Medicare</v>
      </c>
      <c r="E1" s="444" t="str">
        <f>Q1</f>
        <v>Retiree Health Care</v>
      </c>
      <c r="F1" s="54" t="s">
        <v>313</v>
      </c>
      <c r="G1" s="54" t="s">
        <v>870</v>
      </c>
      <c r="H1" s="54" t="s">
        <v>868</v>
      </c>
      <c r="I1" s="55" t="s">
        <v>875</v>
      </c>
      <c r="K1" s="56" t="s">
        <v>842</v>
      </c>
      <c r="L1" s="56" t="s">
        <v>871</v>
      </c>
      <c r="M1" s="57" t="s">
        <v>843</v>
      </c>
      <c r="N1" s="54" t="s">
        <v>873</v>
      </c>
      <c r="O1" s="54" t="s">
        <v>309</v>
      </c>
      <c r="P1" s="444" t="s">
        <v>311</v>
      </c>
      <c r="Q1" s="444" t="s">
        <v>1143</v>
      </c>
      <c r="R1" s="54" t="s">
        <v>313</v>
      </c>
      <c r="S1" s="54" t="s">
        <v>870</v>
      </c>
      <c r="T1" s="54" t="s">
        <v>868</v>
      </c>
      <c r="U1" s="56" t="s">
        <v>874</v>
      </c>
      <c r="V1" s="467"/>
      <c r="W1" s="57" t="s">
        <v>843</v>
      </c>
      <c r="X1" s="54" t="s">
        <v>872</v>
      </c>
      <c r="Y1" s="54" t="s">
        <v>873</v>
      </c>
      <c r="Z1" s="54" t="s">
        <v>309</v>
      </c>
      <c r="AA1" s="444" t="s">
        <v>311</v>
      </c>
      <c r="AB1" s="444" t="s">
        <v>1143</v>
      </c>
      <c r="AC1" s="54" t="s">
        <v>313</v>
      </c>
      <c r="AD1" s="54" t="s">
        <v>870</v>
      </c>
      <c r="AE1" s="54" t="s">
        <v>868</v>
      </c>
      <c r="AF1" s="56" t="s">
        <v>874</v>
      </c>
      <c r="AH1" s="53" t="s">
        <v>869</v>
      </c>
      <c r="AI1" s="54" t="s">
        <v>309</v>
      </c>
      <c r="AJ1" s="54"/>
      <c r="AK1" s="54" t="s">
        <v>313</v>
      </c>
      <c r="AL1" s="54"/>
      <c r="AM1" s="54" t="s">
        <v>209</v>
      </c>
      <c r="AN1" s="54"/>
      <c r="AO1" s="54" t="s">
        <v>868</v>
      </c>
      <c r="AP1" s="55"/>
    </row>
    <row r="2" spans="1:42" s="37" customFormat="1" ht="12.75">
      <c r="A2" s="35"/>
      <c r="B2" s="49"/>
      <c r="C2" s="50"/>
      <c r="D2" s="445"/>
      <c r="E2" s="445"/>
      <c r="F2" s="50"/>
      <c r="G2" s="50"/>
      <c r="H2" s="50"/>
      <c r="I2" s="51"/>
      <c r="J2" s="35"/>
      <c r="K2" s="36"/>
      <c r="L2" s="36"/>
      <c r="M2" s="36"/>
      <c r="O2" s="40"/>
      <c r="P2" s="451">
        <v>0.0145</v>
      </c>
      <c r="Q2" s="451">
        <v>0.013</v>
      </c>
      <c r="R2" s="44">
        <v>0.0915</v>
      </c>
      <c r="S2" s="40"/>
      <c r="T2" s="40"/>
      <c r="U2" s="41"/>
      <c r="V2" s="467"/>
      <c r="W2" s="43"/>
      <c r="X2" s="40"/>
      <c r="Y2" s="40"/>
      <c r="Z2" s="40"/>
      <c r="AA2" s="451">
        <v>0.0145</v>
      </c>
      <c r="AB2" s="451">
        <v>0.013</v>
      </c>
      <c r="AC2" s="44">
        <v>0.0915</v>
      </c>
      <c r="AD2" s="40"/>
      <c r="AE2" s="40"/>
      <c r="AF2" s="41"/>
      <c r="AH2" s="39"/>
      <c r="AI2" s="40"/>
      <c r="AJ2" s="40"/>
      <c r="AK2" s="40"/>
      <c r="AL2" s="40"/>
      <c r="AM2" s="40"/>
      <c r="AN2" s="40"/>
      <c r="AO2" s="40"/>
      <c r="AP2" s="41"/>
    </row>
    <row r="3" spans="1:42" s="37" customFormat="1" ht="12.75">
      <c r="A3" s="35"/>
      <c r="B3" s="49"/>
      <c r="C3" s="50"/>
      <c r="D3" s="445"/>
      <c r="E3" s="445"/>
      <c r="F3" s="50"/>
      <c r="G3" s="50"/>
      <c r="H3" s="50"/>
      <c r="I3" s="51"/>
      <c r="J3" s="35"/>
      <c r="K3" s="36"/>
      <c r="O3" s="44">
        <v>0.062</v>
      </c>
      <c r="P3" s="452"/>
      <c r="Q3" s="452"/>
      <c r="R3" s="44">
        <v>0.185</v>
      </c>
      <c r="S3" s="40"/>
      <c r="T3" s="40"/>
      <c r="U3" s="41"/>
      <c r="V3" s="467"/>
      <c r="W3" s="43"/>
      <c r="X3" s="40"/>
      <c r="Y3" s="40"/>
      <c r="Z3" s="44">
        <v>0.062</v>
      </c>
      <c r="AA3" s="452"/>
      <c r="AB3" s="452"/>
      <c r="AC3" s="44">
        <v>0.185</v>
      </c>
      <c r="AD3" s="40"/>
      <c r="AE3" s="40"/>
      <c r="AF3" s="41"/>
      <c r="AH3" s="39"/>
      <c r="AI3" s="40"/>
      <c r="AJ3" s="40"/>
      <c r="AK3" s="40"/>
      <c r="AL3" s="40"/>
      <c r="AM3" s="40"/>
      <c r="AN3" s="40"/>
      <c r="AO3" s="40"/>
      <c r="AP3" s="41"/>
    </row>
    <row r="4" spans="1:42" s="2" customFormat="1" ht="12.75">
      <c r="A4" s="2" t="s">
        <v>861</v>
      </c>
      <c r="B4" s="407">
        <f aca="true" t="shared" si="0" ref="B4:I4">N$4+N$5+N6</f>
        <v>109217.68</v>
      </c>
      <c r="C4" s="407">
        <f t="shared" si="0"/>
        <v>6771.49616</v>
      </c>
      <c r="D4" s="446">
        <f t="shared" si="0"/>
        <v>1583.6563600000002</v>
      </c>
      <c r="E4" s="446">
        <f t="shared" si="0"/>
        <v>1419.8298399999999</v>
      </c>
      <c r="F4" s="407">
        <f t="shared" si="0"/>
        <v>9993.41772</v>
      </c>
      <c r="G4" s="407">
        <f t="shared" si="0"/>
        <v>8976.285591816853</v>
      </c>
      <c r="H4" s="407">
        <f t="shared" si="0"/>
        <v>109.13393790742708</v>
      </c>
      <c r="I4" s="407">
        <f t="shared" si="0"/>
        <v>138071.49960972427</v>
      </c>
      <c r="K4" s="19" t="s">
        <v>846</v>
      </c>
      <c r="L4" s="408">
        <v>0.025</v>
      </c>
      <c r="M4" s="409">
        <f aca="true" t="shared" si="1" ref="M4:M12">W4*(1+L4)</f>
        <v>20.028499999999998</v>
      </c>
      <c r="N4" s="227">
        <f>M4*X4</f>
        <v>41659.27999999999</v>
      </c>
      <c r="O4" s="410">
        <f>N4*O$3</f>
        <v>2582.8753599999995</v>
      </c>
      <c r="P4" s="422">
        <f>P$2*$N4</f>
        <v>604.0595599999999</v>
      </c>
      <c r="Q4" s="422">
        <f>Q$2*$N4</f>
        <v>541.5706399999999</v>
      </c>
      <c r="R4" s="410">
        <f>N4*R$2</f>
        <v>3811.8241199999993</v>
      </c>
      <c r="S4" s="410">
        <f aca="true" t="shared" si="2" ref="S4:S12">N4*$AN4</f>
        <v>0</v>
      </c>
      <c r="T4" s="410">
        <f aca="true" t="shared" si="3" ref="T4:T12">N4*$AP4</f>
        <v>41.57373404724892</v>
      </c>
      <c r="U4" s="411">
        <f>SUM(N4:T4)</f>
        <v>49241.183414047235</v>
      </c>
      <c r="V4" s="424"/>
      <c r="W4" s="412">
        <v>19.54</v>
      </c>
      <c r="X4" s="215">
        <v>2080</v>
      </c>
      <c r="Y4" s="410">
        <f>X4*W4</f>
        <v>40643.2</v>
      </c>
      <c r="Z4" s="410">
        <f aca="true" t="shared" si="4" ref="Z4:Z12">$Y4*Z$3</f>
        <v>2519.8783999999996</v>
      </c>
      <c r="AA4" s="422">
        <f>AA$2*$Y4</f>
        <v>589.3264</v>
      </c>
      <c r="AB4" s="422">
        <f>AB$2*$Y4</f>
        <v>528.3616</v>
      </c>
      <c r="AC4" s="410">
        <f>$Y4*AC$2</f>
        <v>3718.8527999999997</v>
      </c>
      <c r="AD4" s="410">
        <f>$Y4*$AN4</f>
        <v>0</v>
      </c>
      <c r="AE4" s="410">
        <f aca="true" t="shared" si="5" ref="AE4:AE12">$Y4*$AP4</f>
        <v>40.55974053390139</v>
      </c>
      <c r="AF4" s="411">
        <f>SUM(Y4:AE4)</f>
        <v>48040.17894053389</v>
      </c>
      <c r="AG4" s="413"/>
      <c r="AH4" s="414">
        <f>1231.02+180.75+151.44</f>
        <v>1563.21</v>
      </c>
      <c r="AI4" s="215">
        <v>96.91</v>
      </c>
      <c r="AJ4" s="415">
        <f>AI4/$AH4</f>
        <v>0.061994229821968894</v>
      </c>
      <c r="AK4" s="215">
        <v>143.03</v>
      </c>
      <c r="AL4" s="415">
        <f aca="true" t="shared" si="6" ref="AL4:AL23">AK4/$AH4</f>
        <v>0.09149762347989074</v>
      </c>
      <c r="AM4" s="215"/>
      <c r="AN4" s="415">
        <f aca="true" t="shared" si="7" ref="AN4:AN23">AM4/$AH4</f>
        <v>0</v>
      </c>
      <c r="AO4" s="215">
        <v>1.56</v>
      </c>
      <c r="AP4" s="416">
        <f>AO4/$AH4</f>
        <v>0.0009979465330953615</v>
      </c>
    </row>
    <row r="5" spans="2:42" s="207" customFormat="1" ht="12.75">
      <c r="B5" s="417"/>
      <c r="C5" s="418"/>
      <c r="D5" s="418"/>
      <c r="E5" s="418"/>
      <c r="F5" s="418"/>
      <c r="G5" s="418"/>
      <c r="H5" s="418"/>
      <c r="I5" s="419"/>
      <c r="K5" s="207" t="s">
        <v>850</v>
      </c>
      <c r="L5" s="420">
        <f>M5/W5-1</f>
        <v>0.08280565026790065</v>
      </c>
      <c r="M5" s="421">
        <v>22.23</v>
      </c>
      <c r="N5" s="421">
        <f aca="true" t="shared" si="8" ref="N5:N22">M5*X5</f>
        <v>46238.4</v>
      </c>
      <c r="O5" s="422">
        <f aca="true" t="shared" si="9" ref="O5:O26">N5*O$3</f>
        <v>2866.7808</v>
      </c>
      <c r="P5" s="422">
        <f aca="true" t="shared" si="10" ref="P5:Q12">P$2*$N5</f>
        <v>670.4568</v>
      </c>
      <c r="Q5" s="422">
        <f t="shared" si="10"/>
        <v>601.0992</v>
      </c>
      <c r="R5" s="422">
        <f aca="true" t="shared" si="11" ref="R5:R19">N5*R$2</f>
        <v>4230.8136</v>
      </c>
      <c r="S5" s="422">
        <f t="shared" si="2"/>
        <v>8976.285591816853</v>
      </c>
      <c r="T5" s="422">
        <f t="shared" si="3"/>
        <v>46.17083292742328</v>
      </c>
      <c r="U5" s="423">
        <f aca="true" t="shared" si="12" ref="U5:U29">SUM(N5:T5)</f>
        <v>63630.00682474428</v>
      </c>
      <c r="V5" s="424"/>
      <c r="W5" s="425">
        <v>20.53</v>
      </c>
      <c r="X5" s="418">
        <v>2080</v>
      </c>
      <c r="Y5" s="422">
        <f aca="true" t="shared" si="13" ref="Y5:Y19">X5*W5</f>
        <v>42702.4</v>
      </c>
      <c r="Z5" s="422">
        <f t="shared" si="4"/>
        <v>2647.5488</v>
      </c>
      <c r="AA5" s="422">
        <f aca="true" t="shared" si="14" ref="AA5:AB21">AA$2*$Y5</f>
        <v>619.1848000000001</v>
      </c>
      <c r="AB5" s="422">
        <f t="shared" si="14"/>
        <v>555.1312</v>
      </c>
      <c r="AC5" s="422">
        <f aca="true" t="shared" si="15" ref="AC5:AC22">$Y5*AC$2</f>
        <v>3907.2696</v>
      </c>
      <c r="AD5" s="422">
        <f aca="true" t="shared" si="16" ref="AD5:AD23">$Y5*$AN5</f>
        <v>8289.839999999998</v>
      </c>
      <c r="AE5" s="422">
        <f t="shared" si="5"/>
        <v>42.63999999999999</v>
      </c>
      <c r="AF5" s="423">
        <f aca="true" t="shared" si="17" ref="AF5:AF29">SUM(Y5:AE5)</f>
        <v>58764.0144</v>
      </c>
      <c r="AG5" s="424"/>
      <c r="AH5" s="426">
        <f>1642.4</f>
        <v>1642.4</v>
      </c>
      <c r="AI5" s="418">
        <v>96.89</v>
      </c>
      <c r="AJ5" s="427">
        <f aca="true" t="shared" si="18" ref="AJ5:AJ23">AI5/$AH5</f>
        <v>0.05899293716512421</v>
      </c>
      <c r="AK5" s="418">
        <v>150.28</v>
      </c>
      <c r="AL5" s="427">
        <f t="shared" si="6"/>
        <v>0.0915002435460302</v>
      </c>
      <c r="AM5" s="418">
        <v>318.84</v>
      </c>
      <c r="AN5" s="427">
        <f t="shared" si="7"/>
        <v>0.19413054067218702</v>
      </c>
      <c r="AO5" s="418">
        <v>1.64</v>
      </c>
      <c r="AP5" s="428">
        <f>AO5/$AH5</f>
        <v>0.0009985387238188015</v>
      </c>
    </row>
    <row r="6" spans="2:42" s="2" customFormat="1" ht="12.75">
      <c r="B6" s="70"/>
      <c r="C6" s="215"/>
      <c r="D6" s="418"/>
      <c r="E6" s="418"/>
      <c r="F6" s="215"/>
      <c r="G6" s="215"/>
      <c r="H6" s="215"/>
      <c r="I6" s="299"/>
      <c r="K6" s="19" t="s">
        <v>856</v>
      </c>
      <c r="L6" s="408">
        <v>0.025</v>
      </c>
      <c r="M6" s="409">
        <f t="shared" si="1"/>
        <v>10.25</v>
      </c>
      <c r="N6" s="227">
        <f>M6*X6</f>
        <v>21320</v>
      </c>
      <c r="O6" s="410">
        <f>N6*O$3</f>
        <v>1321.84</v>
      </c>
      <c r="P6" s="422">
        <f t="shared" si="10"/>
        <v>309.14000000000004</v>
      </c>
      <c r="Q6" s="422">
        <f t="shared" si="10"/>
        <v>277.15999999999997</v>
      </c>
      <c r="R6" s="410">
        <f>N6*R$2</f>
        <v>1950.78</v>
      </c>
      <c r="S6" s="410">
        <f t="shared" si="2"/>
        <v>0</v>
      </c>
      <c r="T6" s="410">
        <f t="shared" si="3"/>
        <v>21.389370932754883</v>
      </c>
      <c r="U6" s="411">
        <f>SUM(N6:T6)</f>
        <v>25200.30937093275</v>
      </c>
      <c r="V6" s="424"/>
      <c r="W6" s="412">
        <v>10</v>
      </c>
      <c r="X6" s="215">
        <v>2080</v>
      </c>
      <c r="Y6" s="410">
        <f>X6*W6</f>
        <v>20800</v>
      </c>
      <c r="Z6" s="410">
        <f t="shared" si="4"/>
        <v>1289.6</v>
      </c>
      <c r="AA6" s="422">
        <f t="shared" si="14"/>
        <v>301.6</v>
      </c>
      <c r="AB6" s="422">
        <f t="shared" si="14"/>
        <v>270.4</v>
      </c>
      <c r="AC6" s="410">
        <f>$Y6*AC$2</f>
        <v>1903.2</v>
      </c>
      <c r="AD6" s="410">
        <f>$Y6*$AN6</f>
        <v>0</v>
      </c>
      <c r="AE6" s="410">
        <f t="shared" si="5"/>
        <v>20.867678958785252</v>
      </c>
      <c r="AF6" s="411">
        <f>SUM(Y6:AE6)</f>
        <v>24585.667678958784</v>
      </c>
      <c r="AG6" s="413"/>
      <c r="AH6" s="414"/>
      <c r="AI6" s="215"/>
      <c r="AJ6" s="415">
        <f>AJ19</f>
        <v>0.061017715112075196</v>
      </c>
      <c r="AK6" s="215"/>
      <c r="AL6" s="415">
        <f>AL19</f>
        <v>0.09150397686189442</v>
      </c>
      <c r="AM6" s="215"/>
      <c r="AN6" s="415">
        <f>AN19</f>
        <v>0</v>
      </c>
      <c r="AO6" s="215"/>
      <c r="AP6" s="416">
        <f>AP19</f>
        <v>0.0010032537960954447</v>
      </c>
    </row>
    <row r="7" spans="1:42" s="2" customFormat="1" ht="12.75">
      <c r="A7" s="2" t="s">
        <v>826</v>
      </c>
      <c r="B7" s="429">
        <f aca="true" t="shared" si="19" ref="B7:G7">SUM(N7:N11)</f>
        <v>143754.63999999998</v>
      </c>
      <c r="C7" s="429">
        <f t="shared" si="19"/>
        <v>8726.78768</v>
      </c>
      <c r="D7" s="447">
        <f t="shared" si="19"/>
        <v>2040.9422799999998</v>
      </c>
      <c r="E7" s="447">
        <f t="shared" si="19"/>
        <v>1829.8103199999996</v>
      </c>
      <c r="F7" s="429">
        <f t="shared" si="19"/>
        <v>12879.049559999998</v>
      </c>
      <c r="G7" s="429">
        <f t="shared" si="19"/>
        <v>34543.03902434928</v>
      </c>
      <c r="H7" s="429">
        <f>SUM(T7:T11)</f>
        <v>135.6529752308984</v>
      </c>
      <c r="I7" s="430">
        <f>SUM(B7:H7)</f>
        <v>203909.9218395801</v>
      </c>
      <c r="K7" s="19" t="s">
        <v>847</v>
      </c>
      <c r="L7" s="408">
        <v>0.025</v>
      </c>
      <c r="M7" s="409">
        <f t="shared" si="1"/>
        <v>20.530749999999998</v>
      </c>
      <c r="N7" s="227">
        <f t="shared" si="8"/>
        <v>42703.95999999999</v>
      </c>
      <c r="O7" s="410">
        <f t="shared" si="9"/>
        <v>2647.6455199999996</v>
      </c>
      <c r="P7" s="422">
        <f t="shared" si="10"/>
        <v>619.20742</v>
      </c>
      <c r="Q7" s="422">
        <f t="shared" si="10"/>
        <v>555.1514799999999</v>
      </c>
      <c r="R7" s="410">
        <f t="shared" si="11"/>
        <v>3907.412339999999</v>
      </c>
      <c r="S7" s="410">
        <f t="shared" si="2"/>
        <v>12719.778499999999</v>
      </c>
      <c r="T7" s="410">
        <f t="shared" si="3"/>
        <v>42.63999999999999</v>
      </c>
      <c r="U7" s="411">
        <f t="shared" si="12"/>
        <v>63195.795259999984</v>
      </c>
      <c r="V7" s="424"/>
      <c r="W7" s="412">
        <v>20.03</v>
      </c>
      <c r="X7" s="215">
        <v>2080</v>
      </c>
      <c r="Y7" s="410">
        <f t="shared" si="13"/>
        <v>41662.4</v>
      </c>
      <c r="Z7" s="410">
        <f t="shared" si="4"/>
        <v>2583.0688</v>
      </c>
      <c r="AA7" s="422">
        <f t="shared" si="14"/>
        <v>604.1048000000001</v>
      </c>
      <c r="AB7" s="422">
        <f t="shared" si="14"/>
        <v>541.6111999999999</v>
      </c>
      <c r="AC7" s="410">
        <f t="shared" si="15"/>
        <v>3812.1096000000002</v>
      </c>
      <c r="AD7" s="410">
        <f t="shared" si="16"/>
        <v>12409.54</v>
      </c>
      <c r="AE7" s="410">
        <f t="shared" si="5"/>
        <v>41.6</v>
      </c>
      <c r="AF7" s="411">
        <f t="shared" si="17"/>
        <v>61654.434400000006</v>
      </c>
      <c r="AG7" s="413"/>
      <c r="AH7" s="414">
        <f>1321.98+280.42</f>
        <v>1602.4</v>
      </c>
      <c r="AI7" s="215">
        <v>91.95</v>
      </c>
      <c r="AJ7" s="415">
        <f t="shared" si="18"/>
        <v>0.05738267598602097</v>
      </c>
      <c r="AK7" s="215">
        <v>146.62</v>
      </c>
      <c r="AL7" s="415">
        <f t="shared" si="6"/>
        <v>0.09150024962556165</v>
      </c>
      <c r="AM7" s="215">
        <v>477.29</v>
      </c>
      <c r="AN7" s="415">
        <f t="shared" si="7"/>
        <v>0.29785946080878684</v>
      </c>
      <c r="AO7" s="215">
        <v>1.6</v>
      </c>
      <c r="AP7" s="416">
        <f>AO7/$AH7</f>
        <v>0.000998502246630055</v>
      </c>
    </row>
    <row r="8" spans="2:42" s="2" customFormat="1" ht="12.75">
      <c r="B8" s="70"/>
      <c r="C8" s="215"/>
      <c r="D8" s="418"/>
      <c r="E8" s="418"/>
      <c r="F8" s="215"/>
      <c r="G8" s="215"/>
      <c r="H8" s="215"/>
      <c r="I8" s="299"/>
      <c r="K8" s="19" t="s">
        <v>853</v>
      </c>
      <c r="L8" s="408">
        <v>0.025</v>
      </c>
      <c r="M8" s="409">
        <f t="shared" si="1"/>
        <v>17.701749999999997</v>
      </c>
      <c r="N8" s="227">
        <f t="shared" si="8"/>
        <v>36819.63999999999</v>
      </c>
      <c r="O8" s="410">
        <f t="shared" si="9"/>
        <v>2282.8176799999997</v>
      </c>
      <c r="P8" s="422">
        <f t="shared" si="10"/>
        <v>533.8847799999999</v>
      </c>
      <c r="Q8" s="422">
        <f t="shared" si="10"/>
        <v>478.6553199999999</v>
      </c>
      <c r="R8" s="410">
        <f t="shared" si="11"/>
        <v>3368.9970599999992</v>
      </c>
      <c r="S8" s="410">
        <f t="shared" si="2"/>
        <v>4743.433499999999</v>
      </c>
      <c r="T8" s="410">
        <f t="shared" si="3"/>
        <v>36.776999999999994</v>
      </c>
      <c r="U8" s="411">
        <f t="shared" si="12"/>
        <v>48264.20533999999</v>
      </c>
      <c r="V8" s="424"/>
      <c r="W8" s="412">
        <v>17.27</v>
      </c>
      <c r="X8" s="215">
        <v>2080</v>
      </c>
      <c r="Y8" s="410">
        <f t="shared" si="13"/>
        <v>35921.6</v>
      </c>
      <c r="Z8" s="410">
        <f t="shared" si="4"/>
        <v>2227.1392</v>
      </c>
      <c r="AA8" s="422">
        <f t="shared" si="14"/>
        <v>520.8632</v>
      </c>
      <c r="AB8" s="422">
        <f t="shared" si="14"/>
        <v>466.9808</v>
      </c>
      <c r="AC8" s="410">
        <f t="shared" si="15"/>
        <v>3286.8264</v>
      </c>
      <c r="AD8" s="410">
        <f t="shared" si="16"/>
        <v>4627.740000000001</v>
      </c>
      <c r="AE8" s="410">
        <f t="shared" si="5"/>
        <v>35.879999999999995</v>
      </c>
      <c r="AF8" s="411">
        <f t="shared" si="17"/>
        <v>47087.02959999999</v>
      </c>
      <c r="AG8" s="413"/>
      <c r="AH8" s="414">
        <f>1381.6</f>
        <v>1381.6</v>
      </c>
      <c r="AI8" s="215">
        <v>82.9</v>
      </c>
      <c r="AJ8" s="415">
        <f t="shared" si="18"/>
        <v>0.06000289519397801</v>
      </c>
      <c r="AK8" s="215"/>
      <c r="AL8" s="415">
        <f t="shared" si="6"/>
        <v>0</v>
      </c>
      <c r="AM8" s="215">
        <v>177.99</v>
      </c>
      <c r="AN8" s="415">
        <f t="shared" si="7"/>
        <v>0.12882889403590042</v>
      </c>
      <c r="AO8" s="215">
        <v>1.38</v>
      </c>
      <c r="AP8" s="416">
        <f>AO8/$AH8</f>
        <v>0.0009988419224088013</v>
      </c>
    </row>
    <row r="9" spans="2:42" s="2" customFormat="1" ht="12.75">
      <c r="B9" s="70"/>
      <c r="C9" s="215"/>
      <c r="D9" s="418"/>
      <c r="E9" s="418"/>
      <c r="F9" s="215"/>
      <c r="G9" s="215"/>
      <c r="H9" s="215"/>
      <c r="I9" s="299"/>
      <c r="K9" s="19" t="s">
        <v>857</v>
      </c>
      <c r="L9" s="408">
        <v>0.025</v>
      </c>
      <c r="M9" s="409">
        <f t="shared" si="1"/>
        <v>14.175749999999999</v>
      </c>
      <c r="N9" s="227">
        <f t="shared" si="8"/>
        <v>29485.559999999998</v>
      </c>
      <c r="O9" s="410">
        <f t="shared" si="9"/>
        <v>1828.1047199999998</v>
      </c>
      <c r="P9" s="422">
        <f t="shared" si="10"/>
        <v>427.54062</v>
      </c>
      <c r="Q9" s="422">
        <f t="shared" si="10"/>
        <v>383.31227999999993</v>
      </c>
      <c r="R9" s="410">
        <f t="shared" si="11"/>
        <v>2697.92874</v>
      </c>
      <c r="S9" s="410">
        <f t="shared" si="2"/>
        <v>8497.085999999998</v>
      </c>
      <c r="T9" s="410">
        <f t="shared" si="3"/>
        <v>29.5815</v>
      </c>
      <c r="U9" s="411">
        <f t="shared" si="12"/>
        <v>43349.11385999999</v>
      </c>
      <c r="V9" s="424"/>
      <c r="W9" s="412">
        <v>13.83</v>
      </c>
      <c r="X9" s="215">
        <v>2080</v>
      </c>
      <c r="Y9" s="410">
        <f t="shared" si="13"/>
        <v>28766.4</v>
      </c>
      <c r="Z9" s="410">
        <f t="shared" si="4"/>
        <v>1783.5168</v>
      </c>
      <c r="AA9" s="422">
        <f t="shared" si="14"/>
        <v>417.11280000000005</v>
      </c>
      <c r="AB9" s="422">
        <f t="shared" si="14"/>
        <v>373.96320000000003</v>
      </c>
      <c r="AC9" s="410">
        <f t="shared" si="15"/>
        <v>2632.1256</v>
      </c>
      <c r="AD9" s="410">
        <f t="shared" si="16"/>
        <v>8289.84</v>
      </c>
      <c r="AE9" s="410">
        <f t="shared" si="5"/>
        <v>28.860000000000003</v>
      </c>
      <c r="AF9" s="411">
        <f t="shared" si="17"/>
        <v>42291.818400000004</v>
      </c>
      <c r="AG9" s="413"/>
      <c r="AH9" s="414">
        <v>1106.4</v>
      </c>
      <c r="AI9" s="215">
        <v>64.65</v>
      </c>
      <c r="AJ9" s="415">
        <f t="shared" si="18"/>
        <v>0.058432754880694146</v>
      </c>
      <c r="AK9" s="215">
        <v>101.24</v>
      </c>
      <c r="AL9" s="415">
        <f t="shared" si="6"/>
        <v>0.09150397686189442</v>
      </c>
      <c r="AM9" s="215">
        <v>318.84</v>
      </c>
      <c r="AN9" s="415">
        <f t="shared" si="7"/>
        <v>0.28817787418655094</v>
      </c>
      <c r="AO9" s="215">
        <v>1.11</v>
      </c>
      <c r="AP9" s="416">
        <f>AO9/$AH9</f>
        <v>0.0010032537960954447</v>
      </c>
    </row>
    <row r="10" spans="2:42" s="2" customFormat="1" ht="12.75">
      <c r="B10" s="70"/>
      <c r="C10" s="215"/>
      <c r="D10" s="418"/>
      <c r="E10" s="418"/>
      <c r="F10" s="215"/>
      <c r="G10" s="215"/>
      <c r="H10" s="215"/>
      <c r="I10" s="299"/>
      <c r="K10" s="19" t="s">
        <v>845</v>
      </c>
      <c r="L10" s="408">
        <v>0.025</v>
      </c>
      <c r="M10" s="409">
        <f t="shared" si="1"/>
        <v>15.26225</v>
      </c>
      <c r="N10" s="227">
        <f t="shared" si="8"/>
        <v>31745.48</v>
      </c>
      <c r="O10" s="410">
        <f t="shared" si="9"/>
        <v>1968.21976</v>
      </c>
      <c r="P10" s="422">
        <f t="shared" si="10"/>
        <v>460.30946</v>
      </c>
      <c r="Q10" s="422">
        <f t="shared" si="10"/>
        <v>412.69124</v>
      </c>
      <c r="R10" s="410">
        <f t="shared" si="11"/>
        <v>2904.71142</v>
      </c>
      <c r="S10" s="410">
        <f t="shared" si="2"/>
        <v>8582.741024349287</v>
      </c>
      <c r="T10" s="410">
        <f t="shared" si="3"/>
        <v>26.654475230898402</v>
      </c>
      <c r="U10" s="411">
        <f t="shared" si="12"/>
        <v>46100.80737958018</v>
      </c>
      <c r="V10" s="468">
        <f>'Work Sheet'!C80</f>
        <v>0</v>
      </c>
      <c r="W10" s="412">
        <v>14.89</v>
      </c>
      <c r="X10" s="215">
        <f>2080*(1+V10)</f>
        <v>2080</v>
      </c>
      <c r="Y10" s="410">
        <f t="shared" si="13"/>
        <v>30971.2</v>
      </c>
      <c r="Z10" s="410">
        <f t="shared" si="4"/>
        <v>1920.2144</v>
      </c>
      <c r="AA10" s="422">
        <f t="shared" si="14"/>
        <v>449.0824</v>
      </c>
      <c r="AB10" s="422">
        <f t="shared" si="14"/>
        <v>402.62559999999996</v>
      </c>
      <c r="AC10" s="410">
        <f t="shared" si="15"/>
        <v>2833.8648</v>
      </c>
      <c r="AD10" s="410">
        <f t="shared" si="16"/>
        <v>8373.405877413938</v>
      </c>
      <c r="AE10" s="410">
        <f t="shared" si="5"/>
        <v>26.004366078925273</v>
      </c>
      <c r="AF10" s="411">
        <f t="shared" si="17"/>
        <v>44976.39744349287</v>
      </c>
      <c r="AG10" s="413"/>
      <c r="AH10" s="414">
        <v>1191</v>
      </c>
      <c r="AI10" s="215">
        <v>69</v>
      </c>
      <c r="AJ10" s="415">
        <f t="shared" si="18"/>
        <v>0.05793450881612091</v>
      </c>
      <c r="AK10" s="215">
        <v>109</v>
      </c>
      <c r="AL10" s="415">
        <f t="shared" si="6"/>
        <v>0.09151973131821999</v>
      </c>
      <c r="AM10" s="215">
        <v>322</v>
      </c>
      <c r="AN10" s="415">
        <f t="shared" si="7"/>
        <v>0.2703610411418976</v>
      </c>
      <c r="AO10" s="215">
        <v>1</v>
      </c>
      <c r="AP10" s="416">
        <f>AO10/$AH10</f>
        <v>0.0008396305625524769</v>
      </c>
    </row>
    <row r="11" spans="2:42" s="2" customFormat="1" ht="12.75">
      <c r="B11" s="70"/>
      <c r="C11" s="215"/>
      <c r="D11" s="418"/>
      <c r="E11" s="418"/>
      <c r="F11" s="215"/>
      <c r="G11" s="215"/>
      <c r="H11" s="215"/>
      <c r="I11" s="299"/>
      <c r="K11" s="19" t="s">
        <v>344</v>
      </c>
      <c r="L11" s="408"/>
      <c r="M11" s="409"/>
      <c r="N11" s="411">
        <f>'Work Sheet'!C79</f>
        <v>3000</v>
      </c>
      <c r="O11" s="410"/>
      <c r="P11" s="422"/>
      <c r="Q11" s="422"/>
      <c r="R11" s="410"/>
      <c r="S11" s="410"/>
      <c r="T11" s="410"/>
      <c r="U11" s="411">
        <f t="shared" si="12"/>
        <v>3000</v>
      </c>
      <c r="V11" s="468"/>
      <c r="W11" s="412"/>
      <c r="X11" s="215"/>
      <c r="Y11" s="410">
        <v>3000</v>
      </c>
      <c r="Z11" s="410"/>
      <c r="AA11" s="422"/>
      <c r="AB11" s="422"/>
      <c r="AC11" s="410"/>
      <c r="AD11" s="410"/>
      <c r="AE11" s="410"/>
      <c r="AF11" s="411">
        <f t="shared" si="17"/>
        <v>3000</v>
      </c>
      <c r="AG11" s="413"/>
      <c r="AH11" s="414"/>
      <c r="AI11" s="215"/>
      <c r="AJ11" s="415"/>
      <c r="AK11" s="215"/>
      <c r="AL11" s="415"/>
      <c r="AM11" s="215"/>
      <c r="AN11" s="415"/>
      <c r="AO11" s="215"/>
      <c r="AP11" s="416"/>
    </row>
    <row r="12" spans="1:42" s="2" customFormat="1" ht="12.75">
      <c r="A12" s="19" t="s">
        <v>860</v>
      </c>
      <c r="B12" s="407">
        <f aca="true" t="shared" si="20" ref="B12:H12">N$12</f>
        <v>36819.63999999999</v>
      </c>
      <c r="C12" s="429">
        <f t="shared" si="20"/>
        <v>2282.8176799999997</v>
      </c>
      <c r="D12" s="447">
        <f t="shared" si="20"/>
        <v>533.8847799999999</v>
      </c>
      <c r="E12" s="447">
        <f t="shared" si="20"/>
        <v>478.6553199999999</v>
      </c>
      <c r="F12" s="429">
        <f t="shared" si="20"/>
        <v>3368.9970599999992</v>
      </c>
      <c r="G12" s="429">
        <f t="shared" si="20"/>
        <v>8603.419499999998</v>
      </c>
      <c r="H12" s="429">
        <f t="shared" si="20"/>
        <v>36.776999999999994</v>
      </c>
      <c r="I12" s="430">
        <f>SUM(B12:H12)+U13</f>
        <v>85387.49133999998</v>
      </c>
      <c r="J12" s="19"/>
      <c r="K12" s="19" t="s">
        <v>848</v>
      </c>
      <c r="L12" s="408">
        <v>0.025</v>
      </c>
      <c r="M12" s="409">
        <f t="shared" si="1"/>
        <v>17.701749999999997</v>
      </c>
      <c r="N12" s="227">
        <f t="shared" si="8"/>
        <v>36819.63999999999</v>
      </c>
      <c r="O12" s="410">
        <f t="shared" si="9"/>
        <v>2282.8176799999997</v>
      </c>
      <c r="P12" s="422">
        <f t="shared" si="10"/>
        <v>533.8847799999999</v>
      </c>
      <c r="Q12" s="422">
        <f t="shared" si="10"/>
        <v>478.6553199999999</v>
      </c>
      <c r="R12" s="410">
        <f t="shared" si="11"/>
        <v>3368.9970599999992</v>
      </c>
      <c r="S12" s="410">
        <f t="shared" si="2"/>
        <v>8603.419499999998</v>
      </c>
      <c r="T12" s="410">
        <f t="shared" si="3"/>
        <v>36.776999999999994</v>
      </c>
      <c r="U12" s="411">
        <f t="shared" si="12"/>
        <v>52124.19133999999</v>
      </c>
      <c r="V12" s="468">
        <f>'Work Sheet'!C50</f>
        <v>1</v>
      </c>
      <c r="W12" s="412">
        <v>17.27</v>
      </c>
      <c r="X12" s="215">
        <f>2080*V12</f>
        <v>2080</v>
      </c>
      <c r="Y12" s="410">
        <f>X12*W12</f>
        <v>35921.6</v>
      </c>
      <c r="Z12" s="410">
        <f t="shared" si="4"/>
        <v>2227.1392</v>
      </c>
      <c r="AA12" s="422">
        <f t="shared" si="14"/>
        <v>520.8632</v>
      </c>
      <c r="AB12" s="422">
        <f t="shared" si="14"/>
        <v>466.9808</v>
      </c>
      <c r="AC12" s="410">
        <f t="shared" si="15"/>
        <v>3286.8264</v>
      </c>
      <c r="AD12" s="410">
        <f t="shared" si="16"/>
        <v>8393.58</v>
      </c>
      <c r="AE12" s="410">
        <f t="shared" si="5"/>
        <v>35.879999999999995</v>
      </c>
      <c r="AF12" s="411">
        <f t="shared" si="17"/>
        <v>50852.86959999999</v>
      </c>
      <c r="AG12" s="413"/>
      <c r="AH12" s="414">
        <v>1381.6</v>
      </c>
      <c r="AI12" s="215">
        <v>80.66</v>
      </c>
      <c r="AJ12" s="415">
        <f t="shared" si="18"/>
        <v>0.058381586566299944</v>
      </c>
      <c r="AK12" s="215">
        <v>126.42</v>
      </c>
      <c r="AL12" s="415">
        <f t="shared" si="6"/>
        <v>0.0915026056745802</v>
      </c>
      <c r="AM12" s="215">
        <v>322.83</v>
      </c>
      <c r="AN12" s="415">
        <f t="shared" si="7"/>
        <v>0.23366386797915462</v>
      </c>
      <c r="AO12" s="215">
        <v>1.38</v>
      </c>
      <c r="AP12" s="416">
        <f>AO12/$AH12</f>
        <v>0.0009988419224088013</v>
      </c>
    </row>
    <row r="13" spans="1:42" s="2" customFormat="1" ht="12.75">
      <c r="A13" s="19"/>
      <c r="B13" s="407"/>
      <c r="C13" s="429"/>
      <c r="D13" s="447"/>
      <c r="E13" s="447"/>
      <c r="F13" s="429"/>
      <c r="G13" s="429"/>
      <c r="H13" s="429"/>
      <c r="I13" s="431"/>
      <c r="J13" s="19"/>
      <c r="K13" s="19">
        <f>A13</f>
        <v>0</v>
      </c>
      <c r="L13" s="408">
        <v>0.025</v>
      </c>
      <c r="M13" s="409"/>
      <c r="N13" s="227"/>
      <c r="O13" s="410"/>
      <c r="P13" s="422"/>
      <c r="Q13" s="422"/>
      <c r="R13" s="410"/>
      <c r="S13" s="410"/>
      <c r="T13" s="410"/>
      <c r="U13" s="411">
        <f>(1+L13)*AF13</f>
        <v>33263.299999999996</v>
      </c>
      <c r="V13" s="469">
        <v>1</v>
      </c>
      <c r="W13" s="412"/>
      <c r="X13" s="215"/>
      <c r="Y13" s="410"/>
      <c r="Z13" s="410"/>
      <c r="AA13" s="422"/>
      <c r="AB13" s="422"/>
      <c r="AC13" s="410"/>
      <c r="AD13" s="410"/>
      <c r="AE13" s="410"/>
      <c r="AF13" s="411">
        <f>32452*V13</f>
        <v>32452</v>
      </c>
      <c r="AG13" s="413"/>
      <c r="AH13" s="414"/>
      <c r="AI13" s="215"/>
      <c r="AJ13" s="415"/>
      <c r="AK13" s="215"/>
      <c r="AL13" s="415"/>
      <c r="AM13" s="215"/>
      <c r="AN13" s="415"/>
      <c r="AO13" s="215"/>
      <c r="AP13" s="416"/>
    </row>
    <row r="14" spans="1:42" s="2" customFormat="1" ht="12.75">
      <c r="A14" s="2" t="s">
        <v>862</v>
      </c>
      <c r="B14" s="407">
        <f>SUM(N14:N16)</f>
        <v>88424.69999999998</v>
      </c>
      <c r="C14" s="407">
        <f aca="true" t="shared" si="21" ref="C14:H14">SUM(O14:O16)</f>
        <v>5482.331399999999</v>
      </c>
      <c r="D14" s="446">
        <f t="shared" si="21"/>
        <v>1282.15815</v>
      </c>
      <c r="E14" s="446">
        <f t="shared" si="21"/>
        <v>1149.5210999999997</v>
      </c>
      <c r="F14" s="407">
        <f t="shared" si="21"/>
        <v>8090.860049999998</v>
      </c>
      <c r="G14" s="407">
        <f t="shared" si="21"/>
        <v>0</v>
      </c>
      <c r="H14" s="407">
        <f t="shared" si="21"/>
        <v>88.4962240556598</v>
      </c>
      <c r="I14" s="430">
        <f>SUM(B14:H14)</f>
        <v>104518.06692405565</v>
      </c>
      <c r="K14" s="19" t="s">
        <v>849</v>
      </c>
      <c r="L14" s="408">
        <v>0.025</v>
      </c>
      <c r="M14" s="409">
        <f aca="true" t="shared" si="22" ref="M14:M19">W14*(1+L14)</f>
        <v>27.603249999999996</v>
      </c>
      <c r="N14" s="227">
        <f t="shared" si="8"/>
        <v>57414.75999999999</v>
      </c>
      <c r="O14" s="410">
        <f t="shared" si="9"/>
        <v>3559.7151199999994</v>
      </c>
      <c r="P14" s="422">
        <f aca="true" t="shared" si="23" ref="P14:Q29">P$2*$N14</f>
        <v>832.5140199999998</v>
      </c>
      <c r="Q14" s="422">
        <f t="shared" si="23"/>
        <v>746.3918799999998</v>
      </c>
      <c r="R14" s="410">
        <f t="shared" si="11"/>
        <v>5253.450539999999</v>
      </c>
      <c r="S14" s="410">
        <f aca="true" t="shared" si="24" ref="S14:S19">N14*$AN14</f>
        <v>0</v>
      </c>
      <c r="T14" s="410">
        <f aca="true" t="shared" si="25" ref="T14:T19">N14*$AP14</f>
        <v>57.4489740556598</v>
      </c>
      <c r="U14" s="411">
        <f t="shared" si="12"/>
        <v>67864.28053405565</v>
      </c>
      <c r="V14" s="424"/>
      <c r="W14" s="412">
        <v>26.93</v>
      </c>
      <c r="X14" s="215">
        <v>2080</v>
      </c>
      <c r="Y14" s="410">
        <f t="shared" si="13"/>
        <v>56014.4</v>
      </c>
      <c r="Z14" s="410">
        <f aca="true" t="shared" si="26" ref="Z14:Z28">$Y14*Z$3</f>
        <v>3472.8928</v>
      </c>
      <c r="AA14" s="422">
        <f t="shared" si="14"/>
        <v>812.2088000000001</v>
      </c>
      <c r="AB14" s="422">
        <f t="shared" si="14"/>
        <v>728.1872</v>
      </c>
      <c r="AC14" s="410">
        <f t="shared" si="15"/>
        <v>5125.3176</v>
      </c>
      <c r="AD14" s="410">
        <f t="shared" si="16"/>
        <v>0</v>
      </c>
      <c r="AE14" s="410">
        <f aca="true" t="shared" si="27" ref="AE14:AE19">$Y14*$AP14</f>
        <v>56.047779566497375</v>
      </c>
      <c r="AF14" s="411">
        <f t="shared" si="17"/>
        <v>66209.05417956649</v>
      </c>
      <c r="AG14" s="413"/>
      <c r="AH14" s="414">
        <f>2154.4+94.26</f>
        <v>2248.6600000000003</v>
      </c>
      <c r="AI14" s="215">
        <v>139.42</v>
      </c>
      <c r="AJ14" s="415">
        <f t="shared" si="18"/>
        <v>0.062001369704624075</v>
      </c>
      <c r="AK14" s="215">
        <v>197.13</v>
      </c>
      <c r="AL14" s="415">
        <f t="shared" si="6"/>
        <v>0.08766554303451832</v>
      </c>
      <c r="AM14" s="215"/>
      <c r="AN14" s="415">
        <f t="shared" si="7"/>
        <v>0</v>
      </c>
      <c r="AO14" s="215">
        <v>2.25</v>
      </c>
      <c r="AP14" s="416">
        <f>AO14/$AH14</f>
        <v>0.0010005959104533366</v>
      </c>
    </row>
    <row r="15" spans="2:42" s="2" customFormat="1" ht="12.75">
      <c r="B15" s="70"/>
      <c r="C15" s="215"/>
      <c r="D15" s="418"/>
      <c r="E15" s="418"/>
      <c r="F15" s="215"/>
      <c r="G15" s="215"/>
      <c r="H15" s="215"/>
      <c r="I15" s="299"/>
      <c r="K15" s="19" t="s">
        <v>855</v>
      </c>
      <c r="L15" s="408">
        <v>0.025</v>
      </c>
      <c r="M15" s="409">
        <f t="shared" si="22"/>
        <v>14.175749999999999</v>
      </c>
      <c r="N15" s="227">
        <f t="shared" si="8"/>
        <v>14742.779999999999</v>
      </c>
      <c r="O15" s="410">
        <f t="shared" si="9"/>
        <v>914.0523599999999</v>
      </c>
      <c r="P15" s="422">
        <f t="shared" si="23"/>
        <v>213.77031</v>
      </c>
      <c r="Q15" s="422">
        <f t="shared" si="23"/>
        <v>191.65613999999997</v>
      </c>
      <c r="R15" s="410">
        <f t="shared" si="11"/>
        <v>1348.96437</v>
      </c>
      <c r="S15" s="410">
        <f t="shared" si="24"/>
        <v>0</v>
      </c>
      <c r="T15" s="410">
        <f t="shared" si="25"/>
        <v>14.79075</v>
      </c>
      <c r="U15" s="411">
        <f t="shared" si="12"/>
        <v>17426.013929999997</v>
      </c>
      <c r="V15" s="424"/>
      <c r="W15" s="412">
        <v>13.83</v>
      </c>
      <c r="X15" s="215">
        <v>1040</v>
      </c>
      <c r="Y15" s="410">
        <f t="shared" si="13"/>
        <v>14383.2</v>
      </c>
      <c r="Z15" s="410">
        <f t="shared" si="26"/>
        <v>891.7584</v>
      </c>
      <c r="AA15" s="422">
        <f t="shared" si="14"/>
        <v>208.55640000000002</v>
      </c>
      <c r="AB15" s="422">
        <f t="shared" si="14"/>
        <v>186.98160000000001</v>
      </c>
      <c r="AC15" s="410">
        <f t="shared" si="15"/>
        <v>1316.0628</v>
      </c>
      <c r="AD15" s="410">
        <f t="shared" si="16"/>
        <v>0</v>
      </c>
      <c r="AE15" s="410">
        <f t="shared" si="27"/>
        <v>14.430000000000001</v>
      </c>
      <c r="AF15" s="411">
        <f t="shared" si="17"/>
        <v>17000.9892</v>
      </c>
      <c r="AG15" s="413"/>
      <c r="AH15" s="414"/>
      <c r="AI15" s="215"/>
      <c r="AJ15" s="415">
        <f>AJ19</f>
        <v>0.061017715112075196</v>
      </c>
      <c r="AK15" s="215"/>
      <c r="AL15" s="415">
        <f>AL19</f>
        <v>0.09150397686189442</v>
      </c>
      <c r="AM15" s="215"/>
      <c r="AN15" s="415">
        <f>AN19</f>
        <v>0</v>
      </c>
      <c r="AO15" s="215"/>
      <c r="AP15" s="416">
        <f>AP19</f>
        <v>0.0010032537960954447</v>
      </c>
    </row>
    <row r="16" spans="2:42" s="2" customFormat="1" ht="12.75">
      <c r="B16" s="407"/>
      <c r="C16" s="429"/>
      <c r="D16" s="447"/>
      <c r="E16" s="447"/>
      <c r="F16" s="429"/>
      <c r="G16" s="429"/>
      <c r="H16" s="429"/>
      <c r="I16" s="430"/>
      <c r="K16" s="19" t="s">
        <v>854</v>
      </c>
      <c r="L16" s="408">
        <v>0.025</v>
      </c>
      <c r="M16" s="409">
        <f t="shared" si="22"/>
        <v>15.641499999999999</v>
      </c>
      <c r="N16" s="227">
        <f t="shared" si="8"/>
        <v>16267.159999999998</v>
      </c>
      <c r="O16" s="410">
        <f t="shared" si="9"/>
        <v>1008.5639199999998</v>
      </c>
      <c r="P16" s="422">
        <f t="shared" si="23"/>
        <v>235.87382</v>
      </c>
      <c r="Q16" s="422">
        <f t="shared" si="23"/>
        <v>211.47307999999995</v>
      </c>
      <c r="R16" s="410">
        <f t="shared" si="11"/>
        <v>1488.4451399999998</v>
      </c>
      <c r="S16" s="410">
        <f t="shared" si="24"/>
        <v>0</v>
      </c>
      <c r="T16" s="410">
        <f t="shared" si="25"/>
        <v>16.2565</v>
      </c>
      <c r="U16" s="411">
        <f t="shared" si="12"/>
        <v>19227.772459999996</v>
      </c>
      <c r="V16" s="470">
        <f>'Work Sheet'!C71</f>
        <v>0.5</v>
      </c>
      <c r="W16" s="412">
        <v>15.26</v>
      </c>
      <c r="X16" s="215">
        <f>2080*V16</f>
        <v>1040</v>
      </c>
      <c r="Y16" s="410">
        <f t="shared" si="13"/>
        <v>15870.4</v>
      </c>
      <c r="Z16" s="410">
        <f t="shared" si="26"/>
        <v>983.9648</v>
      </c>
      <c r="AA16" s="422">
        <f t="shared" si="14"/>
        <v>230.1208</v>
      </c>
      <c r="AB16" s="422">
        <f t="shared" si="14"/>
        <v>206.31519999999998</v>
      </c>
      <c r="AC16" s="410">
        <f t="shared" si="15"/>
        <v>1452.1416</v>
      </c>
      <c r="AD16" s="410">
        <f t="shared" si="16"/>
        <v>0</v>
      </c>
      <c r="AE16" s="410">
        <f t="shared" si="27"/>
        <v>15.86</v>
      </c>
      <c r="AF16" s="411">
        <f t="shared" si="17"/>
        <v>18758.8024</v>
      </c>
      <c r="AG16" s="413"/>
      <c r="AH16" s="414">
        <f>610.4</f>
        <v>610.4</v>
      </c>
      <c r="AI16" s="215">
        <v>37.84</v>
      </c>
      <c r="AJ16" s="415">
        <f t="shared" si="18"/>
        <v>0.06199213630406292</v>
      </c>
      <c r="AK16" s="215">
        <v>55.85</v>
      </c>
      <c r="AL16" s="415">
        <f t="shared" si="6"/>
        <v>0.09149737876802097</v>
      </c>
      <c r="AM16" s="215"/>
      <c r="AN16" s="415">
        <f t="shared" si="7"/>
        <v>0</v>
      </c>
      <c r="AO16" s="215">
        <v>0.61</v>
      </c>
      <c r="AP16" s="416">
        <f>AO16/$AH16</f>
        <v>0.0009993446920052425</v>
      </c>
    </row>
    <row r="17" spans="1:42" s="2" customFormat="1" ht="12.75">
      <c r="A17" s="2" t="s">
        <v>863</v>
      </c>
      <c r="B17" s="407">
        <f aca="true" t="shared" si="28" ref="B17:H17">N$17+N$18</f>
        <v>71336.72</v>
      </c>
      <c r="C17" s="429">
        <f t="shared" si="28"/>
        <v>4422.87664</v>
      </c>
      <c r="D17" s="447">
        <f t="shared" si="28"/>
        <v>1034.38244</v>
      </c>
      <c r="E17" s="447">
        <f t="shared" si="28"/>
        <v>927.37736</v>
      </c>
      <c r="F17" s="429">
        <f t="shared" si="28"/>
        <v>6527.309880000001</v>
      </c>
      <c r="G17" s="429">
        <f t="shared" si="28"/>
        <v>17243.616</v>
      </c>
      <c r="H17" s="429">
        <f t="shared" si="28"/>
        <v>71.42200000000001</v>
      </c>
      <c r="I17" s="430">
        <f>SUM(B17:H17)</f>
        <v>101563.70432</v>
      </c>
      <c r="K17" s="19" t="s">
        <v>851</v>
      </c>
      <c r="L17" s="408">
        <v>0.025</v>
      </c>
      <c r="M17" s="409">
        <f t="shared" si="22"/>
        <v>19.065</v>
      </c>
      <c r="N17" s="227">
        <f t="shared" si="8"/>
        <v>39655.200000000004</v>
      </c>
      <c r="O17" s="410">
        <f t="shared" si="9"/>
        <v>2458.6224</v>
      </c>
      <c r="P17" s="422">
        <f t="shared" si="23"/>
        <v>575.0004000000001</v>
      </c>
      <c r="Q17" s="422">
        <f t="shared" si="23"/>
        <v>515.5176</v>
      </c>
      <c r="R17" s="410">
        <f t="shared" si="11"/>
        <v>3628.4508000000005</v>
      </c>
      <c r="S17" s="410">
        <f t="shared" si="24"/>
        <v>12222.756000000003</v>
      </c>
      <c r="T17" s="410">
        <f t="shared" si="25"/>
        <v>39.708500000000015</v>
      </c>
      <c r="U17" s="411">
        <f t="shared" si="12"/>
        <v>59095.2557</v>
      </c>
      <c r="V17" s="424"/>
      <c r="W17" s="412">
        <v>18.6</v>
      </c>
      <c r="X17" s="215">
        <v>2080</v>
      </c>
      <c r="Y17" s="410">
        <f t="shared" si="13"/>
        <v>38688</v>
      </c>
      <c r="Z17" s="410">
        <f t="shared" si="26"/>
        <v>2398.656</v>
      </c>
      <c r="AA17" s="422">
        <f t="shared" si="14"/>
        <v>560.976</v>
      </c>
      <c r="AB17" s="422">
        <f t="shared" si="14"/>
        <v>502.94399999999996</v>
      </c>
      <c r="AC17" s="410">
        <f t="shared" si="15"/>
        <v>3539.9519999999998</v>
      </c>
      <c r="AD17" s="410">
        <f t="shared" si="16"/>
        <v>11924.640000000003</v>
      </c>
      <c r="AE17" s="410">
        <f t="shared" si="27"/>
        <v>38.74000000000001</v>
      </c>
      <c r="AF17" s="411">
        <f t="shared" si="17"/>
        <v>57653.908</v>
      </c>
      <c r="AG17" s="413"/>
      <c r="AH17" s="414">
        <f>1088.1+148.8+251.1</f>
        <v>1487.9999999999998</v>
      </c>
      <c r="AI17" s="215">
        <v>85.15</v>
      </c>
      <c r="AJ17" s="415">
        <f t="shared" si="18"/>
        <v>0.05722446236559141</v>
      </c>
      <c r="AK17" s="215">
        <v>136.15</v>
      </c>
      <c r="AL17" s="415">
        <f t="shared" si="6"/>
        <v>0.09149865591397852</v>
      </c>
      <c r="AM17" s="215">
        <v>458.64</v>
      </c>
      <c r="AN17" s="415">
        <f t="shared" si="7"/>
        <v>0.30822580645161296</v>
      </c>
      <c r="AO17" s="215">
        <v>1.49</v>
      </c>
      <c r="AP17" s="416">
        <f>AO17/$AH17</f>
        <v>0.0010013440860215056</v>
      </c>
    </row>
    <row r="18" spans="2:42" s="2" customFormat="1" ht="12.75">
      <c r="B18" s="70"/>
      <c r="C18" s="215"/>
      <c r="D18" s="418"/>
      <c r="E18" s="418"/>
      <c r="F18" s="215"/>
      <c r="G18" s="215"/>
      <c r="H18" s="215"/>
      <c r="I18" s="299"/>
      <c r="K18" s="19" t="s">
        <v>852</v>
      </c>
      <c r="L18" s="408">
        <v>0.025</v>
      </c>
      <c r="M18" s="409">
        <f t="shared" si="22"/>
        <v>15.231499999999999</v>
      </c>
      <c r="N18" s="227">
        <f t="shared" si="8"/>
        <v>31681.519999999997</v>
      </c>
      <c r="O18" s="410">
        <f t="shared" si="9"/>
        <v>1964.2542399999998</v>
      </c>
      <c r="P18" s="422">
        <f t="shared" si="23"/>
        <v>459.38203999999996</v>
      </c>
      <c r="Q18" s="422">
        <f t="shared" si="23"/>
        <v>411.85975999999994</v>
      </c>
      <c r="R18" s="410">
        <f t="shared" si="11"/>
        <v>2898.8590799999997</v>
      </c>
      <c r="S18" s="410">
        <f t="shared" si="24"/>
        <v>5020.86</v>
      </c>
      <c r="T18" s="410">
        <f t="shared" si="25"/>
        <v>31.713499999999993</v>
      </c>
      <c r="U18" s="411">
        <f t="shared" si="12"/>
        <v>42468.448619999996</v>
      </c>
      <c r="V18" s="470">
        <f>'Work Sheet'!C75</f>
        <v>1</v>
      </c>
      <c r="W18" s="412">
        <v>14.86</v>
      </c>
      <c r="X18" s="215">
        <f>2080*V18</f>
        <v>2080</v>
      </c>
      <c r="Y18" s="410">
        <f t="shared" si="13"/>
        <v>30908.8</v>
      </c>
      <c r="Z18" s="410">
        <f t="shared" si="26"/>
        <v>1916.3455999999999</v>
      </c>
      <c r="AA18" s="422">
        <f t="shared" si="14"/>
        <v>448.1776</v>
      </c>
      <c r="AB18" s="422">
        <f t="shared" si="14"/>
        <v>401.8144</v>
      </c>
      <c r="AC18" s="410">
        <f t="shared" si="15"/>
        <v>2828.1551999999997</v>
      </c>
      <c r="AD18" s="410">
        <f t="shared" si="16"/>
        <v>4898.400000000001</v>
      </c>
      <c r="AE18" s="410">
        <f t="shared" si="27"/>
        <v>30.939999999999998</v>
      </c>
      <c r="AF18" s="411">
        <f t="shared" si="17"/>
        <v>41432.63280000001</v>
      </c>
      <c r="AG18" s="413"/>
      <c r="AH18" s="414">
        <f>1188.8</f>
        <v>1188.8</v>
      </c>
      <c r="AI18" s="215">
        <v>68.89</v>
      </c>
      <c r="AJ18" s="415">
        <f t="shared" si="18"/>
        <v>0.05794919246298789</v>
      </c>
      <c r="AK18" s="215">
        <v>108.78</v>
      </c>
      <c r="AL18" s="415">
        <f t="shared" si="6"/>
        <v>0.09150403768506057</v>
      </c>
      <c r="AM18" s="215">
        <v>188.4</v>
      </c>
      <c r="AN18" s="415">
        <f t="shared" si="7"/>
        <v>0.1584791386271871</v>
      </c>
      <c r="AO18" s="215">
        <v>1.19</v>
      </c>
      <c r="AP18" s="416">
        <f>AO18/$AH18</f>
        <v>0.0010010094212651412</v>
      </c>
    </row>
    <row r="19" spans="1:42" s="2" customFormat="1" ht="12.75">
      <c r="A19" s="2" t="s">
        <v>864</v>
      </c>
      <c r="B19" s="407">
        <f aca="true" t="shared" si="29" ref="B19:I19">N$19+N$20</f>
        <v>19542.78</v>
      </c>
      <c r="C19" s="407">
        <f t="shared" si="29"/>
        <v>1211.65236</v>
      </c>
      <c r="D19" s="446">
        <f t="shared" si="29"/>
        <v>283.37031</v>
      </c>
      <c r="E19" s="446">
        <f t="shared" si="29"/>
        <v>191.65613999999997</v>
      </c>
      <c r="F19" s="407">
        <f t="shared" si="29"/>
        <v>1348.96437</v>
      </c>
      <c r="G19" s="407">
        <f t="shared" si="29"/>
        <v>0</v>
      </c>
      <c r="H19" s="407">
        <f t="shared" si="29"/>
        <v>14.79075</v>
      </c>
      <c r="I19" s="407">
        <f t="shared" si="29"/>
        <v>22593.213929999998</v>
      </c>
      <c r="K19" s="19" t="s">
        <v>855</v>
      </c>
      <c r="L19" s="408">
        <v>0.025</v>
      </c>
      <c r="M19" s="409">
        <f t="shared" si="22"/>
        <v>14.175749999999999</v>
      </c>
      <c r="N19" s="227">
        <f t="shared" si="8"/>
        <v>14742.779999999999</v>
      </c>
      <c r="O19" s="410">
        <f t="shared" si="9"/>
        <v>914.0523599999999</v>
      </c>
      <c r="P19" s="422">
        <f t="shared" si="23"/>
        <v>213.77031</v>
      </c>
      <c r="Q19" s="422">
        <f t="shared" si="23"/>
        <v>191.65613999999997</v>
      </c>
      <c r="R19" s="410">
        <f t="shared" si="11"/>
        <v>1348.96437</v>
      </c>
      <c r="S19" s="410">
        <f t="shared" si="24"/>
        <v>0</v>
      </c>
      <c r="T19" s="410">
        <f t="shared" si="25"/>
        <v>14.79075</v>
      </c>
      <c r="U19" s="411">
        <f t="shared" si="12"/>
        <v>17426.013929999997</v>
      </c>
      <c r="V19" s="424"/>
      <c r="W19" s="412">
        <v>13.83</v>
      </c>
      <c r="X19" s="215">
        <v>1040</v>
      </c>
      <c r="Y19" s="410">
        <f t="shared" si="13"/>
        <v>14383.2</v>
      </c>
      <c r="Z19" s="410">
        <f t="shared" si="26"/>
        <v>891.7584</v>
      </c>
      <c r="AA19" s="422">
        <f t="shared" si="14"/>
        <v>208.55640000000002</v>
      </c>
      <c r="AB19" s="422">
        <f t="shared" si="14"/>
        <v>186.98160000000001</v>
      </c>
      <c r="AC19" s="410">
        <f t="shared" si="15"/>
        <v>1316.0628</v>
      </c>
      <c r="AD19" s="410">
        <f t="shared" si="16"/>
        <v>0</v>
      </c>
      <c r="AE19" s="410">
        <f t="shared" si="27"/>
        <v>14.430000000000001</v>
      </c>
      <c r="AF19" s="411">
        <f t="shared" si="17"/>
        <v>17000.9892</v>
      </c>
      <c r="AG19" s="413"/>
      <c r="AH19" s="414">
        <v>1106.4</v>
      </c>
      <c r="AI19" s="215">
        <v>67.51</v>
      </c>
      <c r="AJ19" s="415">
        <f t="shared" si="18"/>
        <v>0.061017715112075196</v>
      </c>
      <c r="AK19" s="215">
        <v>101.24</v>
      </c>
      <c r="AL19" s="415">
        <f t="shared" si="6"/>
        <v>0.09150397686189442</v>
      </c>
      <c r="AM19" s="215"/>
      <c r="AN19" s="415">
        <f t="shared" si="7"/>
        <v>0</v>
      </c>
      <c r="AO19" s="215">
        <v>1.11</v>
      </c>
      <c r="AP19" s="416">
        <f>AO19/$AH19</f>
        <v>0.0010032537960954447</v>
      </c>
    </row>
    <row r="20" spans="4:32" s="2" customFormat="1" ht="12.75">
      <c r="D20" s="207"/>
      <c r="E20" s="207"/>
      <c r="K20" s="19" t="s">
        <v>877</v>
      </c>
      <c r="N20" s="2">
        <v>4800</v>
      </c>
      <c r="O20" s="410">
        <f t="shared" si="9"/>
        <v>297.6</v>
      </c>
      <c r="P20" s="422">
        <f t="shared" si="23"/>
        <v>69.60000000000001</v>
      </c>
      <c r="Q20" s="422"/>
      <c r="U20" s="411">
        <f t="shared" si="12"/>
        <v>5167.200000000001</v>
      </c>
      <c r="V20" s="207"/>
      <c r="Y20" s="2">
        <v>4800</v>
      </c>
      <c r="Z20" s="410">
        <f t="shared" si="26"/>
        <v>297.6</v>
      </c>
      <c r="AA20" s="422">
        <f t="shared" si="14"/>
        <v>69.60000000000001</v>
      </c>
      <c r="AB20" s="422"/>
      <c r="AF20" s="411">
        <f t="shared" si="17"/>
        <v>5167.200000000001</v>
      </c>
    </row>
    <row r="21" spans="1:42" s="2" customFormat="1" ht="12.75">
      <c r="A21" s="2" t="s">
        <v>867</v>
      </c>
      <c r="B21" s="407">
        <f aca="true" t="shared" si="30" ref="B21:H21">N$21</f>
        <v>12000</v>
      </c>
      <c r="C21" s="429">
        <f t="shared" si="30"/>
        <v>744</v>
      </c>
      <c r="D21" s="447">
        <f t="shared" si="30"/>
        <v>174</v>
      </c>
      <c r="E21" s="447">
        <f t="shared" si="30"/>
        <v>0</v>
      </c>
      <c r="F21" s="429">
        <f t="shared" si="30"/>
        <v>0</v>
      </c>
      <c r="G21" s="429">
        <f t="shared" si="30"/>
        <v>0</v>
      </c>
      <c r="H21" s="429">
        <f t="shared" si="30"/>
        <v>0</v>
      </c>
      <c r="I21" s="430">
        <f>SUM(B21:H21)</f>
        <v>12918</v>
      </c>
      <c r="K21" s="19" t="s">
        <v>866</v>
      </c>
      <c r="L21" s="408"/>
      <c r="M21" s="408"/>
      <c r="N21" s="227">
        <f>Y21</f>
        <v>12000</v>
      </c>
      <c r="O21" s="410">
        <f t="shared" si="9"/>
        <v>744</v>
      </c>
      <c r="P21" s="422">
        <f t="shared" si="23"/>
        <v>174</v>
      </c>
      <c r="Q21" s="422"/>
      <c r="R21" s="410"/>
      <c r="S21" s="410">
        <f>$Y21*$AN21</f>
        <v>0</v>
      </c>
      <c r="T21" s="410"/>
      <c r="U21" s="411">
        <f t="shared" si="12"/>
        <v>12918</v>
      </c>
      <c r="V21" s="424"/>
      <c r="W21" s="407">
        <f>Y34/X21</f>
        <v>5.769230769230769</v>
      </c>
      <c r="X21" s="215">
        <v>2080</v>
      </c>
      <c r="Y21" s="410">
        <f>X21*W21</f>
        <v>12000</v>
      </c>
      <c r="Z21" s="410">
        <f t="shared" si="26"/>
        <v>744</v>
      </c>
      <c r="AA21" s="422">
        <f t="shared" si="14"/>
        <v>174</v>
      </c>
      <c r="AB21" s="422"/>
      <c r="AC21" s="410"/>
      <c r="AD21" s="410">
        <f t="shared" si="16"/>
        <v>0</v>
      </c>
      <c r="AE21" s="410"/>
      <c r="AF21" s="411">
        <f t="shared" si="17"/>
        <v>12918</v>
      </c>
      <c r="AG21" s="413"/>
      <c r="AH21" s="414"/>
      <c r="AI21" s="215"/>
      <c r="AJ21" s="415">
        <f>AJ19</f>
        <v>0.061017715112075196</v>
      </c>
      <c r="AK21" s="215"/>
      <c r="AL21" s="415"/>
      <c r="AM21" s="215"/>
      <c r="AN21" s="415">
        <f>AN19</f>
        <v>0</v>
      </c>
      <c r="AO21" s="215"/>
      <c r="AP21" s="416">
        <f>AP19</f>
        <v>0.0010032537960954447</v>
      </c>
    </row>
    <row r="22" spans="1:42" s="2" customFormat="1" ht="12.75">
      <c r="A22" s="2" t="s">
        <v>816</v>
      </c>
      <c r="B22" s="407">
        <f aca="true" t="shared" si="31" ref="B22:H22">SUM(N22:N29)</f>
        <v>421873.504</v>
      </c>
      <c r="C22" s="407">
        <f t="shared" si="31"/>
        <v>26156.157248</v>
      </c>
      <c r="D22" s="446">
        <f t="shared" si="31"/>
        <v>6117.165808000001</v>
      </c>
      <c r="E22" s="446">
        <f t="shared" si="31"/>
        <v>5484.355552</v>
      </c>
      <c r="F22" s="407">
        <f t="shared" si="31"/>
        <v>75487.04695999999</v>
      </c>
      <c r="G22" s="407">
        <f t="shared" si="31"/>
        <v>115885.36001721163</v>
      </c>
      <c r="H22" s="407">
        <f t="shared" si="31"/>
        <v>420.73578838636644</v>
      </c>
      <c r="I22" s="430">
        <f>SUM(B22:H22)</f>
        <v>651424.3253735979</v>
      </c>
      <c r="K22" s="19" t="s">
        <v>844</v>
      </c>
      <c r="L22" s="408">
        <v>0.025</v>
      </c>
      <c r="M22" s="409">
        <f>W22*(1+L22)</f>
        <v>13.161</v>
      </c>
      <c r="N22" s="227">
        <f t="shared" si="8"/>
        <v>27374.879999999997</v>
      </c>
      <c r="O22" s="410">
        <f t="shared" si="9"/>
        <v>1697.24256</v>
      </c>
      <c r="P22" s="422">
        <f t="shared" si="23"/>
        <v>396.93575999999996</v>
      </c>
      <c r="Q22" s="422">
        <f t="shared" si="23"/>
        <v>355.87343999999996</v>
      </c>
      <c r="R22" s="410">
        <f>N22*R$2</f>
        <v>2504.8015199999995</v>
      </c>
      <c r="S22" s="410">
        <f>$Y22*$AN22</f>
        <v>11895.897076023391</v>
      </c>
      <c r="T22" s="410">
        <f>N22*$AP22</f>
        <v>26.68116959064327</v>
      </c>
      <c r="U22" s="411">
        <f>SUM(N22:T22)</f>
        <v>44252.31152561403</v>
      </c>
      <c r="V22" s="424"/>
      <c r="W22" s="412">
        <v>12.84</v>
      </c>
      <c r="X22" s="215">
        <v>2080</v>
      </c>
      <c r="Y22" s="410">
        <f>X22*W22</f>
        <v>26707.2</v>
      </c>
      <c r="Z22" s="410">
        <f t="shared" si="26"/>
        <v>1655.8464000000001</v>
      </c>
      <c r="AA22" s="422">
        <f aca="true" t="shared" si="32" ref="AA22:AB29">AA$2*$Y22</f>
        <v>387.25440000000003</v>
      </c>
      <c r="AB22" s="422">
        <f t="shared" si="32"/>
        <v>347.1936</v>
      </c>
      <c r="AC22" s="410">
        <f t="shared" si="15"/>
        <v>2443.7088</v>
      </c>
      <c r="AD22" s="410">
        <f t="shared" si="16"/>
        <v>11895.897076023391</v>
      </c>
      <c r="AE22" s="410">
        <f aca="true" t="shared" si="33" ref="AE22:AE28">$Y22*$AP22</f>
        <v>26.030409356725144</v>
      </c>
      <c r="AF22" s="411">
        <f t="shared" si="17"/>
        <v>43463.130685380114</v>
      </c>
      <c r="AG22" s="413"/>
      <c r="AH22" s="414">
        <f>924+102</f>
        <v>1026</v>
      </c>
      <c r="AI22" s="215">
        <v>55</v>
      </c>
      <c r="AJ22" s="415">
        <f t="shared" si="18"/>
        <v>0.05360623781676413</v>
      </c>
      <c r="AK22" s="215">
        <v>94</v>
      </c>
      <c r="AL22" s="415">
        <f t="shared" si="6"/>
        <v>0.09161793372319688</v>
      </c>
      <c r="AM22" s="215">
        <v>457</v>
      </c>
      <c r="AN22" s="415">
        <f t="shared" si="7"/>
        <v>0.44541910331384016</v>
      </c>
      <c r="AO22" s="215">
        <v>1</v>
      </c>
      <c r="AP22" s="416">
        <f>AO22/$AH22</f>
        <v>0.0009746588693957114</v>
      </c>
    </row>
    <row r="23" spans="2:42" s="2" customFormat="1" ht="13.5" thickBot="1">
      <c r="B23" s="70"/>
      <c r="C23" s="215"/>
      <c r="D23" s="418"/>
      <c r="E23" s="418"/>
      <c r="F23" s="215"/>
      <c r="G23" s="215"/>
      <c r="H23" s="215"/>
      <c r="I23" s="299"/>
      <c r="K23" s="19" t="s">
        <v>858</v>
      </c>
      <c r="L23" s="408">
        <v>0</v>
      </c>
      <c r="M23" s="409">
        <f>W23*(1+L23)</f>
        <v>35.54</v>
      </c>
      <c r="N23" s="227">
        <f aca="true" t="shared" si="34" ref="N23:N28">Y23</f>
        <v>73923.2</v>
      </c>
      <c r="O23" s="410">
        <f t="shared" si="9"/>
        <v>4583.2384</v>
      </c>
      <c r="P23" s="422">
        <f t="shared" si="23"/>
        <v>1071.8864</v>
      </c>
      <c r="Q23" s="422">
        <f t="shared" si="23"/>
        <v>961.0015999999999</v>
      </c>
      <c r="R23" s="410">
        <f>N23*R$3</f>
        <v>13675.792</v>
      </c>
      <c r="S23" s="410">
        <f>N23*$AN23</f>
        <v>8503.04</v>
      </c>
      <c r="T23" s="410">
        <f>N23*$AP23</f>
        <v>73.84</v>
      </c>
      <c r="U23" s="411">
        <f t="shared" si="12"/>
        <v>102791.99840000001</v>
      </c>
      <c r="V23" s="424"/>
      <c r="W23" s="70">
        <f>2843.2/80</f>
        <v>35.54</v>
      </c>
      <c r="X23" s="215">
        <v>2080</v>
      </c>
      <c r="Y23" s="410">
        <f>X23*W23</f>
        <v>73923.2</v>
      </c>
      <c r="Z23" s="410">
        <f t="shared" si="26"/>
        <v>4583.2384</v>
      </c>
      <c r="AA23" s="422">
        <f t="shared" si="32"/>
        <v>1071.8864</v>
      </c>
      <c r="AB23" s="422">
        <f t="shared" si="32"/>
        <v>961.0015999999999</v>
      </c>
      <c r="AC23" s="410">
        <f>$Y23*AC$3</f>
        <v>13675.792</v>
      </c>
      <c r="AD23" s="410">
        <f t="shared" si="16"/>
        <v>8503.04</v>
      </c>
      <c r="AE23" s="410">
        <f t="shared" si="33"/>
        <v>73.84</v>
      </c>
      <c r="AF23" s="411">
        <f t="shared" si="17"/>
        <v>102791.99840000001</v>
      </c>
      <c r="AG23" s="413"/>
      <c r="AH23" s="432">
        <f>2843.2</f>
        <v>2843.2</v>
      </c>
      <c r="AI23" s="225">
        <v>171.24</v>
      </c>
      <c r="AJ23" s="433">
        <f t="shared" si="18"/>
        <v>0.06022791221159258</v>
      </c>
      <c r="AK23" s="225">
        <v>260.15</v>
      </c>
      <c r="AL23" s="433">
        <f t="shared" si="6"/>
        <v>0.09149901519414744</v>
      </c>
      <c r="AM23" s="225">
        <v>327.04</v>
      </c>
      <c r="AN23" s="433">
        <f t="shared" si="7"/>
        <v>0.11502532357906585</v>
      </c>
      <c r="AO23" s="225">
        <v>2.84</v>
      </c>
      <c r="AP23" s="434">
        <f>AO23/$AH23</f>
        <v>0.0009988745075970738</v>
      </c>
    </row>
    <row r="24" spans="3:42" s="2" customFormat="1" ht="13.5" thickBot="1">
      <c r="C24" s="215"/>
      <c r="D24" s="418"/>
      <c r="E24" s="418"/>
      <c r="F24" s="215"/>
      <c r="G24" s="215"/>
      <c r="H24" s="215"/>
      <c r="I24" s="299"/>
      <c r="K24" s="2" t="s">
        <v>1039</v>
      </c>
      <c r="L24" s="408"/>
      <c r="M24" s="409">
        <f>W24</f>
        <v>25.15</v>
      </c>
      <c r="N24" s="227">
        <f t="shared" si="34"/>
        <v>52312</v>
      </c>
      <c r="O24" s="410">
        <f t="shared" si="9"/>
        <v>3243.344</v>
      </c>
      <c r="P24" s="422">
        <f t="shared" si="23"/>
        <v>758.524</v>
      </c>
      <c r="Q24" s="422">
        <f t="shared" si="23"/>
        <v>680.0559999999999</v>
      </c>
      <c r="R24" s="410">
        <f>$Y24*R$3</f>
        <v>9677.72</v>
      </c>
      <c r="S24" s="410">
        <f>AD24</f>
        <v>15581.624113829257</v>
      </c>
      <c r="T24" s="410">
        <f>$Y24*$AP24</f>
        <v>52.25312324141812</v>
      </c>
      <c r="U24" s="411">
        <f t="shared" si="12"/>
        <v>82305.52123707066</v>
      </c>
      <c r="V24" s="424"/>
      <c r="W24" s="414">
        <f>Y24/X24</f>
        <v>25.15</v>
      </c>
      <c r="X24" s="215">
        <v>2080</v>
      </c>
      <c r="Y24" s="410">
        <f>AH24*12</f>
        <v>52312</v>
      </c>
      <c r="Z24" s="410">
        <f t="shared" si="26"/>
        <v>3243.344</v>
      </c>
      <c r="AA24" s="422">
        <f t="shared" si="32"/>
        <v>758.524</v>
      </c>
      <c r="AB24" s="422">
        <f t="shared" si="32"/>
        <v>680.0559999999999</v>
      </c>
      <c r="AC24" s="410">
        <f>$Y24*AC$3</f>
        <v>9677.72</v>
      </c>
      <c r="AD24" s="410">
        <f>$Y24*$AN$7</f>
        <v>15581.624113829257</v>
      </c>
      <c r="AE24" s="410">
        <f t="shared" si="33"/>
        <v>52.25312324141812</v>
      </c>
      <c r="AF24" s="411">
        <f t="shared" si="17"/>
        <v>82305.52123707066</v>
      </c>
      <c r="AG24" s="413"/>
      <c r="AH24" s="209">
        <f>25.15*2080/12</f>
        <v>4359.333333333333</v>
      </c>
      <c r="AJ24" s="435"/>
      <c r="AL24" s="435"/>
      <c r="AN24" s="435"/>
      <c r="AP24" s="434">
        <f>AP23</f>
        <v>0.0009988745075970738</v>
      </c>
    </row>
    <row r="25" spans="2:42" s="2" customFormat="1" ht="13.5" thickBot="1">
      <c r="B25" s="70"/>
      <c r="C25" s="215"/>
      <c r="D25" s="418"/>
      <c r="E25" s="418"/>
      <c r="F25" s="215"/>
      <c r="G25" s="215"/>
      <c r="H25" s="215"/>
      <c r="I25" s="299"/>
      <c r="K25" s="2" t="s">
        <v>1040</v>
      </c>
      <c r="L25" s="408"/>
      <c r="M25" s="409">
        <f>W25</f>
        <v>20.64</v>
      </c>
      <c r="N25" s="227">
        <f t="shared" si="34"/>
        <v>42931.200000000004</v>
      </c>
      <c r="O25" s="410">
        <f t="shared" si="9"/>
        <v>2661.7344000000003</v>
      </c>
      <c r="P25" s="422">
        <f t="shared" si="23"/>
        <v>622.5024000000001</v>
      </c>
      <c r="Q25" s="422">
        <f t="shared" si="23"/>
        <v>558.1056</v>
      </c>
      <c r="R25" s="410">
        <f>$Y25*R$3</f>
        <v>7942.272000000001</v>
      </c>
      <c r="S25" s="410">
        <f>AD25</f>
        <v>12787.46408387419</v>
      </c>
      <c r="T25" s="410">
        <f>$Y25*$AP25</f>
        <v>42.8828812605515</v>
      </c>
      <c r="U25" s="411">
        <f t="shared" si="12"/>
        <v>67546.16136513474</v>
      </c>
      <c r="V25" s="424"/>
      <c r="W25" s="414">
        <f>Y25/X25</f>
        <v>20.64</v>
      </c>
      <c r="X25" s="215">
        <v>2080</v>
      </c>
      <c r="Y25" s="410">
        <f>AH25*12</f>
        <v>42931.200000000004</v>
      </c>
      <c r="Z25" s="410">
        <f t="shared" si="26"/>
        <v>2661.7344000000003</v>
      </c>
      <c r="AA25" s="422">
        <f t="shared" si="32"/>
        <v>622.5024000000001</v>
      </c>
      <c r="AB25" s="422">
        <f t="shared" si="32"/>
        <v>558.1056</v>
      </c>
      <c r="AC25" s="410">
        <f>$Y25*AC$3</f>
        <v>7942.272000000001</v>
      </c>
      <c r="AD25" s="410">
        <f>$Y25*$AN$7</f>
        <v>12787.46408387419</v>
      </c>
      <c r="AE25" s="410">
        <f t="shared" si="33"/>
        <v>42.8828812605515</v>
      </c>
      <c r="AF25" s="411">
        <f t="shared" si="17"/>
        <v>67546.16136513474</v>
      </c>
      <c r="AG25" s="413"/>
      <c r="AH25" s="209">
        <f>20.64*2080/12</f>
        <v>3577.6000000000004</v>
      </c>
      <c r="AJ25" s="435"/>
      <c r="AL25" s="435"/>
      <c r="AN25" s="435"/>
      <c r="AP25" s="434">
        <f>AP24</f>
        <v>0.0009988745075970738</v>
      </c>
    </row>
    <row r="26" spans="2:42" s="2" customFormat="1" ht="13.5" thickBot="1">
      <c r="B26" s="70"/>
      <c r="C26" s="215"/>
      <c r="D26" s="418"/>
      <c r="E26" s="418"/>
      <c r="F26" s="215"/>
      <c r="G26" s="215"/>
      <c r="H26" s="215"/>
      <c r="I26" s="299"/>
      <c r="K26" s="2" t="s">
        <v>1041</v>
      </c>
      <c r="L26" s="408"/>
      <c r="M26" s="409">
        <f>W26</f>
        <v>19.65</v>
      </c>
      <c r="N26" s="227">
        <f t="shared" si="34"/>
        <v>40872</v>
      </c>
      <c r="O26" s="410">
        <f t="shared" si="9"/>
        <v>2534.064</v>
      </c>
      <c r="P26" s="422">
        <f t="shared" si="23"/>
        <v>592.644</v>
      </c>
      <c r="Q26" s="422">
        <f t="shared" si="23"/>
        <v>531.336</v>
      </c>
      <c r="R26" s="410">
        <f>$Y26*R$3</f>
        <v>7561.32</v>
      </c>
      <c r="S26" s="410">
        <f>AD26</f>
        <v>12174.111882176736</v>
      </c>
      <c r="T26" s="410">
        <f>$Y26*$AP26</f>
        <v>40.825998874507604</v>
      </c>
      <c r="U26" s="411">
        <f t="shared" si="12"/>
        <v>64306.301881051244</v>
      </c>
      <c r="V26" s="424"/>
      <c r="W26" s="414">
        <f>Y26/X26</f>
        <v>19.65</v>
      </c>
      <c r="X26" s="215">
        <v>2080</v>
      </c>
      <c r="Y26" s="410">
        <f>AH26*12</f>
        <v>40872</v>
      </c>
      <c r="Z26" s="410">
        <f t="shared" si="26"/>
        <v>2534.064</v>
      </c>
      <c r="AA26" s="422">
        <f t="shared" si="32"/>
        <v>592.644</v>
      </c>
      <c r="AB26" s="422">
        <f t="shared" si="32"/>
        <v>531.336</v>
      </c>
      <c r="AC26" s="410">
        <f>$Y26*AC$3</f>
        <v>7561.32</v>
      </c>
      <c r="AD26" s="410">
        <f>$Y26*$AN$7</f>
        <v>12174.111882176736</v>
      </c>
      <c r="AE26" s="410">
        <f t="shared" si="33"/>
        <v>40.825998874507604</v>
      </c>
      <c r="AF26" s="411">
        <f t="shared" si="17"/>
        <v>64306.301881051244</v>
      </c>
      <c r="AG26" s="413"/>
      <c r="AH26" s="209">
        <f>19.65*2080/12</f>
        <v>3406</v>
      </c>
      <c r="AJ26" s="435"/>
      <c r="AL26" s="435"/>
      <c r="AN26" s="435"/>
      <c r="AP26" s="434">
        <f>AP25</f>
        <v>0.0009988745075970738</v>
      </c>
    </row>
    <row r="27" spans="2:42" s="2" customFormat="1" ht="13.5" thickBot="1">
      <c r="B27" s="70"/>
      <c r="C27" s="215"/>
      <c r="D27" s="418"/>
      <c r="E27" s="418"/>
      <c r="F27" s="215"/>
      <c r="G27" s="215"/>
      <c r="H27" s="215"/>
      <c r="I27" s="299"/>
      <c r="K27" s="2" t="s">
        <v>1042</v>
      </c>
      <c r="M27" s="409">
        <f>W27</f>
        <v>19.65</v>
      </c>
      <c r="N27" s="227">
        <f t="shared" si="34"/>
        <v>163488</v>
      </c>
      <c r="O27" s="410">
        <f>N27*O$3</f>
        <v>10136.256</v>
      </c>
      <c r="P27" s="422">
        <f t="shared" si="23"/>
        <v>2370.576</v>
      </c>
      <c r="Q27" s="422">
        <f t="shared" si="23"/>
        <v>2125.344</v>
      </c>
      <c r="R27" s="410">
        <f>$Y27*R$3</f>
        <v>30245.28</v>
      </c>
      <c r="S27" s="410">
        <f>AD27</f>
        <v>48696.44752870694</v>
      </c>
      <c r="T27" s="410">
        <f>$Y27*$AP27</f>
        <v>163.30399549803042</v>
      </c>
      <c r="U27" s="411">
        <f t="shared" si="12"/>
        <v>257225.20752420498</v>
      </c>
      <c r="V27" s="471">
        <f>'Work Sheet'!C2-3</f>
        <v>4</v>
      </c>
      <c r="W27" s="414">
        <f>W26</f>
        <v>19.65</v>
      </c>
      <c r="X27" s="215">
        <f>X26*V27</f>
        <v>8320</v>
      </c>
      <c r="Y27" s="410">
        <f>X27*W27</f>
        <v>163488</v>
      </c>
      <c r="Z27" s="410">
        <f t="shared" si="26"/>
        <v>10136.256</v>
      </c>
      <c r="AA27" s="422">
        <f t="shared" si="32"/>
        <v>2370.576</v>
      </c>
      <c r="AB27" s="422">
        <f t="shared" si="32"/>
        <v>2125.344</v>
      </c>
      <c r="AC27" s="410">
        <f>$Y27*AC$3</f>
        <v>30245.28</v>
      </c>
      <c r="AD27" s="410">
        <f>$Y27*$AN$7</f>
        <v>48696.44752870694</v>
      </c>
      <c r="AE27" s="410">
        <f t="shared" si="33"/>
        <v>163.30399549803042</v>
      </c>
      <c r="AF27" s="411">
        <f t="shared" si="17"/>
        <v>257225.20752420498</v>
      </c>
      <c r="AG27" s="413"/>
      <c r="AH27" s="209">
        <f>19.65*2080/12</f>
        <v>3406</v>
      </c>
      <c r="AJ27" s="435"/>
      <c r="AL27" s="435"/>
      <c r="AN27" s="435"/>
      <c r="AP27" s="434">
        <f>AP26</f>
        <v>0.0009988745075970738</v>
      </c>
    </row>
    <row r="28" spans="2:42" s="2" customFormat="1" ht="13.5" thickBot="1">
      <c r="B28" s="70"/>
      <c r="C28" s="215"/>
      <c r="D28" s="418"/>
      <c r="E28" s="418"/>
      <c r="F28" s="215"/>
      <c r="G28" s="215"/>
      <c r="H28" s="215"/>
      <c r="I28" s="299"/>
      <c r="K28" s="2" t="s">
        <v>1133</v>
      </c>
      <c r="N28" s="227">
        <f t="shared" si="34"/>
        <v>0</v>
      </c>
      <c r="O28" s="410">
        <f>Y28*O$3</f>
        <v>0</v>
      </c>
      <c r="P28" s="422">
        <f t="shared" si="23"/>
        <v>0</v>
      </c>
      <c r="Q28" s="422"/>
      <c r="R28" s="410"/>
      <c r="S28" s="410"/>
      <c r="T28" s="410">
        <f>Y28*$AP28</f>
        <v>0</v>
      </c>
      <c r="U28" s="411">
        <f t="shared" si="12"/>
        <v>0</v>
      </c>
      <c r="V28" s="471"/>
      <c r="W28" s="409">
        <f>'Work Sheet'!D4</f>
        <v>25</v>
      </c>
      <c r="X28" s="436">
        <v>52</v>
      </c>
      <c r="Y28" s="227">
        <f>W28*'Work Sheet'!C4*X28</f>
        <v>0</v>
      </c>
      <c r="Z28" s="410">
        <f t="shared" si="26"/>
        <v>0</v>
      </c>
      <c r="AA28" s="422">
        <f t="shared" si="32"/>
        <v>0</v>
      </c>
      <c r="AB28" s="422"/>
      <c r="AC28" s="410"/>
      <c r="AD28" s="410"/>
      <c r="AE28" s="410">
        <f t="shared" si="33"/>
        <v>0</v>
      </c>
      <c r="AF28" s="411">
        <f t="shared" si="17"/>
        <v>0</v>
      </c>
      <c r="AG28" s="413"/>
      <c r="AH28" s="209"/>
      <c r="AJ28" s="435"/>
      <c r="AL28" s="435"/>
      <c r="AN28" s="435"/>
      <c r="AP28" s="434"/>
    </row>
    <row r="29" spans="2:42" s="2" customFormat="1" ht="13.5" thickBot="1">
      <c r="B29" s="70"/>
      <c r="C29" s="215"/>
      <c r="D29" s="418"/>
      <c r="E29" s="418"/>
      <c r="F29" s="215"/>
      <c r="G29" s="215"/>
      <c r="H29" s="215"/>
      <c r="I29" s="299"/>
      <c r="K29" s="2" t="s">
        <v>880</v>
      </c>
      <c r="L29" s="437">
        <v>0.07</v>
      </c>
      <c r="N29" s="411">
        <f>$L29*SUM(N24:N27)</f>
        <v>20972.224000000002</v>
      </c>
      <c r="O29" s="411">
        <f>$L29*SUM(O24:O27)</f>
        <v>1300.277888</v>
      </c>
      <c r="P29" s="422">
        <f t="shared" si="23"/>
        <v>304.09724800000004</v>
      </c>
      <c r="Q29" s="422">
        <f t="shared" si="23"/>
        <v>272.638912</v>
      </c>
      <c r="R29" s="411">
        <f>$L29*SUM(R24:R27)</f>
        <v>3879.86144</v>
      </c>
      <c r="S29" s="411">
        <f>$L29*SUM(S24:S27)</f>
        <v>6246.7753326011</v>
      </c>
      <c r="T29" s="411">
        <f>$L29*SUM(T24:T27)</f>
        <v>20.94861992121554</v>
      </c>
      <c r="U29" s="411">
        <f t="shared" si="12"/>
        <v>32996.82344052232</v>
      </c>
      <c r="V29" s="207"/>
      <c r="W29" s="70"/>
      <c r="X29" s="215"/>
      <c r="Y29" s="411">
        <f>$L29*SUM(Y24:Y27)</f>
        <v>20972.224000000002</v>
      </c>
      <c r="Z29" s="411">
        <f>$L29*SUM(Z24:Z27)</f>
        <v>1300.277888</v>
      </c>
      <c r="AA29" s="422">
        <f t="shared" si="32"/>
        <v>304.09724800000004</v>
      </c>
      <c r="AB29" s="422">
        <f t="shared" si="32"/>
        <v>272.638912</v>
      </c>
      <c r="AC29" s="411">
        <f>$L29*SUM(AC24:AC27)</f>
        <v>3879.86144</v>
      </c>
      <c r="AD29" s="410">
        <f>$Y29*$AN$7</f>
        <v>6246.775332601099</v>
      </c>
      <c r="AE29" s="411">
        <f>$L29*SUM(AE24:AE27)</f>
        <v>20.94861992121554</v>
      </c>
      <c r="AF29" s="411">
        <f t="shared" si="17"/>
        <v>32996.82344052232</v>
      </c>
      <c r="AP29" s="434"/>
    </row>
    <row r="30" spans="2:34" s="2" customFormat="1" ht="13.5" thickBot="1">
      <c r="B30" s="224"/>
      <c r="C30" s="225"/>
      <c r="D30" s="448"/>
      <c r="E30" s="449">
        <f>SUM(D4:E22)</f>
        <v>24530.76576</v>
      </c>
      <c r="F30" s="225"/>
      <c r="G30" s="225"/>
      <c r="H30" s="438"/>
      <c r="I30" s="439">
        <f>SUM(I4:I27)</f>
        <v>1320386.2233369579</v>
      </c>
      <c r="O30" s="410">
        <f>SUM(O4:O29)</f>
        <v>55798.11916799999</v>
      </c>
      <c r="P30" s="453"/>
      <c r="Q30" s="453"/>
      <c r="R30" s="410">
        <f>SUM(R4:R29)</f>
        <v>117695.64559999997</v>
      </c>
      <c r="S30" s="410">
        <f>SUM(S4:S29)</f>
        <v>185251.72013337773</v>
      </c>
      <c r="T30" s="410">
        <f>SUM(T4:T29)</f>
        <v>877.0086755803518</v>
      </c>
      <c r="U30" s="411">
        <f>SUM(U4:U29)</f>
        <v>1320386.223336958</v>
      </c>
      <c r="V30" s="453"/>
      <c r="W30" s="224"/>
      <c r="X30" s="225"/>
      <c r="Y30" s="440">
        <f aca="true" t="shared" si="35" ref="Y30:AF30">SUM(Y4:Y29)</f>
        <v>888642.6240000001</v>
      </c>
      <c r="Z30" s="440">
        <f t="shared" si="35"/>
        <v>54909.842688</v>
      </c>
      <c r="AA30" s="453"/>
      <c r="AB30" s="453"/>
      <c r="AC30" s="440">
        <f t="shared" si="35"/>
        <v>116384.72143999998</v>
      </c>
      <c r="AD30" s="440">
        <f t="shared" si="35"/>
        <v>183092.34589462553</v>
      </c>
      <c r="AE30" s="440">
        <f t="shared" si="35"/>
        <v>862.8245932905577</v>
      </c>
      <c r="AF30" s="441">
        <f t="shared" si="35"/>
        <v>1300481.1307759162</v>
      </c>
      <c r="AG30" s="413"/>
      <c r="AH30" s="413"/>
    </row>
    <row r="31" spans="9:34" ht="18.75" thickBot="1">
      <c r="I31" s="32">
        <f>I30-U30</f>
        <v>0</v>
      </c>
      <c r="N31" s="102" t="s">
        <v>916</v>
      </c>
      <c r="O31" s="103"/>
      <c r="P31" s="454"/>
      <c r="Q31" s="454"/>
      <c r="R31" s="103"/>
      <c r="S31" s="442" t="s">
        <v>876</v>
      </c>
      <c r="T31" s="442"/>
      <c r="U31" s="443">
        <f>U30-AF30</f>
        <v>19905.092561041936</v>
      </c>
      <c r="Y31" s="34">
        <f>SUM(Y22:Y27)</f>
        <v>400233.6</v>
      </c>
      <c r="Z31" s="34">
        <f>SUM(Z22:Z27)</f>
        <v>24814.483200000002</v>
      </c>
      <c r="AA31" s="454"/>
      <c r="AB31" s="454"/>
      <c r="AC31" s="34">
        <f>SUM(AC22:AC27)</f>
        <v>71546.0928</v>
      </c>
      <c r="AD31" s="34">
        <f>SUM(AD22:AD27)</f>
        <v>109638.58468461053</v>
      </c>
      <c r="AE31" s="34">
        <f>SUM(AE22:AE27)</f>
        <v>399.1364082312328</v>
      </c>
      <c r="AF31" s="45">
        <f>SUM(Y31:AE31)</f>
        <v>606631.8970928417</v>
      </c>
      <c r="AH31" s="34">
        <f>SUM(Y31:AE31)</f>
        <v>606631.8970928417</v>
      </c>
    </row>
    <row r="32" spans="3:21" ht="25.5">
      <c r="C32" s="42"/>
      <c r="D32" s="450"/>
      <c r="L32" s="29" t="s">
        <v>816</v>
      </c>
      <c r="N32" s="32">
        <f>SUM(N22:N27)</f>
        <v>400901.28</v>
      </c>
      <c r="O32" s="101" t="s">
        <v>309</v>
      </c>
      <c r="R32" s="101" t="s">
        <v>313</v>
      </c>
      <c r="S32" s="101" t="s">
        <v>870</v>
      </c>
      <c r="T32" s="101" t="s">
        <v>868</v>
      </c>
      <c r="U32" s="56" t="s">
        <v>874</v>
      </c>
    </row>
    <row r="33" spans="3:25" ht="12.75">
      <c r="C33" s="42"/>
      <c r="L33" s="29" t="s">
        <v>344</v>
      </c>
      <c r="N33" s="34">
        <f>N29</f>
        <v>20972.224000000002</v>
      </c>
      <c r="X33" s="31" t="s">
        <v>859</v>
      </c>
      <c r="Y33">
        <f>W23*2080</f>
        <v>73923.2</v>
      </c>
    </row>
    <row r="34" spans="3:25" ht="12.75">
      <c r="C34" s="42"/>
      <c r="L34" s="29" t="s">
        <v>795</v>
      </c>
      <c r="N34" s="34">
        <f>N32+N33</f>
        <v>421873.504</v>
      </c>
      <c r="O34" s="34">
        <f>SUM(O22:O29)</f>
        <v>26156.157248</v>
      </c>
      <c r="R34" s="34">
        <f>SUM(R22:R29)</f>
        <v>75487.04695999999</v>
      </c>
      <c r="S34" s="34">
        <f>SUM(S22:S29)</f>
        <v>115885.36001721163</v>
      </c>
      <c r="T34" s="34">
        <f>SUM(T22:T29)</f>
        <v>420.73578838636644</v>
      </c>
      <c r="U34" s="34">
        <f>SUM(U22:U29)</f>
        <v>651424.325373598</v>
      </c>
      <c r="Y34">
        <v>12000</v>
      </c>
    </row>
    <row r="35" ht="12.75">
      <c r="C35" s="42"/>
    </row>
    <row r="36" ht="12.75">
      <c r="C36" s="42"/>
    </row>
    <row r="37" ht="12.75">
      <c r="C37" s="42"/>
    </row>
    <row r="38" ht="12.75">
      <c r="C38" s="42"/>
    </row>
    <row r="39" ht="12.75">
      <c r="C39" s="42"/>
    </row>
    <row r="40" ht="12.75">
      <c r="C40" s="42"/>
    </row>
    <row r="41" ht="12.75">
      <c r="C41" s="42"/>
    </row>
    <row r="42" ht="12.75">
      <c r="C42" s="42"/>
    </row>
    <row r="43" ht="12.75">
      <c r="C43" s="42"/>
    </row>
  </sheetData>
  <sheetProtection/>
  <printOptions gridLines="1"/>
  <pageMargins left="0.75" right="0.75" top="1" bottom="1" header="0.5" footer="0.5"/>
  <pageSetup horizontalDpi="300" verticalDpi="300" orientation="landscape" r:id="rId1"/>
  <headerFooter alignWithMargins="0">
    <oddFooter>&amp;C&amp;Z&amp;F&amp;R&amp;P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4">
      <selection activeCell="B24" sqref="B24"/>
    </sheetView>
  </sheetViews>
  <sheetFormatPr defaultColWidth="9.140625" defaultRowHeight="12.75"/>
  <cols>
    <col min="2" max="2" width="48.28125" style="147" customWidth="1"/>
    <col min="3" max="3" width="15.8515625" style="0" customWidth="1"/>
    <col min="4" max="4" width="14.421875" style="0" customWidth="1"/>
    <col min="5" max="5" width="12.28125" style="0" customWidth="1"/>
    <col min="6" max="6" width="14.28125" style="0" customWidth="1"/>
  </cols>
  <sheetData>
    <row r="1" spans="1:7" ht="63">
      <c r="A1" s="259" t="s">
        <v>933</v>
      </c>
      <c r="B1" s="259" t="s">
        <v>934</v>
      </c>
      <c r="C1" s="260" t="s">
        <v>1104</v>
      </c>
      <c r="D1" s="261" t="s">
        <v>947</v>
      </c>
      <c r="E1" s="262" t="s">
        <v>936</v>
      </c>
      <c r="F1" s="263" t="s">
        <v>937</v>
      </c>
      <c r="G1" s="260" t="s">
        <v>938</v>
      </c>
    </row>
    <row r="2" spans="1:7" ht="15">
      <c r="A2" s="264"/>
      <c r="B2" s="265"/>
      <c r="C2" s="266"/>
      <c r="D2" s="106"/>
      <c r="E2" s="267"/>
      <c r="F2" s="268"/>
      <c r="G2" s="143"/>
    </row>
    <row r="3" spans="1:7" ht="15.75">
      <c r="A3" s="264">
        <v>2006</v>
      </c>
      <c r="B3" s="265" t="s">
        <v>1105</v>
      </c>
      <c r="C3" s="269" t="s">
        <v>1106</v>
      </c>
      <c r="D3" s="270">
        <v>675000</v>
      </c>
      <c r="E3" s="271"/>
      <c r="F3" s="272"/>
      <c r="G3" s="139"/>
    </row>
    <row r="4" spans="1:7" ht="15">
      <c r="A4" s="264"/>
      <c r="B4" s="265"/>
      <c r="C4" s="269" t="s">
        <v>1107</v>
      </c>
      <c r="D4" s="270">
        <v>150000</v>
      </c>
      <c r="E4" s="271"/>
      <c r="F4" s="272"/>
      <c r="G4" s="139"/>
    </row>
    <row r="5" spans="1:7" ht="15">
      <c r="A5" s="264"/>
      <c r="B5" s="265"/>
      <c r="C5" s="269"/>
      <c r="D5" s="270"/>
      <c r="E5" s="271"/>
      <c r="F5" s="272"/>
      <c r="G5" s="139"/>
    </row>
    <row r="6" spans="1:7" ht="15">
      <c r="A6" s="264">
        <v>2005</v>
      </c>
      <c r="B6" s="265" t="s">
        <v>1108</v>
      </c>
      <c r="C6" s="269" t="s">
        <v>1109</v>
      </c>
      <c r="D6" s="270">
        <v>700000</v>
      </c>
      <c r="E6" s="271" t="s">
        <v>1110</v>
      </c>
      <c r="F6" s="272"/>
      <c r="G6" s="139"/>
    </row>
    <row r="7" spans="1:7" ht="15">
      <c r="A7" s="264"/>
      <c r="B7" s="265"/>
      <c r="C7" s="269"/>
      <c r="D7" s="270"/>
      <c r="E7" s="271"/>
      <c r="F7" s="272"/>
      <c r="G7" s="139"/>
    </row>
    <row r="8" spans="1:7" ht="45">
      <c r="A8" s="264">
        <v>2004</v>
      </c>
      <c r="B8" s="265" t="s">
        <v>1111</v>
      </c>
      <c r="C8" s="269" t="s">
        <v>1112</v>
      </c>
      <c r="D8" s="270">
        <v>500000</v>
      </c>
      <c r="E8" s="271" t="s">
        <v>1110</v>
      </c>
      <c r="F8" s="272"/>
      <c r="G8" s="139"/>
    </row>
    <row r="9" spans="1:7" ht="15">
      <c r="A9" s="264"/>
      <c r="B9" s="265"/>
      <c r="C9" s="269"/>
      <c r="D9" s="270"/>
      <c r="E9" s="271"/>
      <c r="F9" s="272"/>
      <c r="G9" s="139"/>
    </row>
    <row r="10" spans="1:7" ht="45">
      <c r="A10" s="264">
        <v>2004</v>
      </c>
      <c r="B10" s="265" t="s">
        <v>1113</v>
      </c>
      <c r="C10" s="269" t="s">
        <v>1114</v>
      </c>
      <c r="D10" s="270">
        <v>25000</v>
      </c>
      <c r="E10" s="273">
        <v>39965</v>
      </c>
      <c r="F10" s="274"/>
      <c r="G10" s="139"/>
    </row>
    <row r="11" spans="1:7" ht="15">
      <c r="A11" s="264"/>
      <c r="B11" s="265"/>
      <c r="C11" s="269"/>
      <c r="D11" s="270"/>
      <c r="E11" s="271"/>
      <c r="F11" s="272"/>
      <c r="G11" s="139"/>
    </row>
    <row r="12" spans="1:7" ht="30">
      <c r="A12" s="264">
        <v>2004</v>
      </c>
      <c r="B12" s="265" t="s">
        <v>1115</v>
      </c>
      <c r="C12" s="269" t="s">
        <v>1116</v>
      </c>
      <c r="D12" s="270">
        <v>75000</v>
      </c>
      <c r="E12" s="273">
        <v>39973</v>
      </c>
      <c r="F12" s="274"/>
      <c r="G12" s="139"/>
    </row>
    <row r="13" spans="1:7" ht="30">
      <c r="A13" s="264">
        <v>2004</v>
      </c>
      <c r="B13" s="265" t="s">
        <v>1115</v>
      </c>
      <c r="C13" s="269" t="s">
        <v>1117</v>
      </c>
      <c r="D13" s="270">
        <v>25000</v>
      </c>
      <c r="E13" s="273"/>
      <c r="F13" s="274"/>
      <c r="G13" s="139"/>
    </row>
    <row r="14" spans="1:7" ht="30">
      <c r="A14" s="264">
        <v>2004</v>
      </c>
      <c r="B14" s="265" t="s">
        <v>1115</v>
      </c>
      <c r="C14" s="269" t="s">
        <v>1118</v>
      </c>
      <c r="D14" s="270">
        <v>5000</v>
      </c>
      <c r="E14" s="273"/>
      <c r="F14" s="274"/>
      <c r="G14" s="139"/>
    </row>
    <row r="15" spans="1:7" ht="15">
      <c r="A15" s="264"/>
      <c r="B15" s="265"/>
      <c r="C15" s="269"/>
      <c r="D15" s="275"/>
      <c r="E15" s="271"/>
      <c r="F15" s="272"/>
      <c r="G15" s="139"/>
    </row>
    <row r="16" spans="1:7" ht="30">
      <c r="A16" s="264">
        <v>2002</v>
      </c>
      <c r="B16" s="265" t="s">
        <v>1119</v>
      </c>
      <c r="C16" s="269" t="s">
        <v>1120</v>
      </c>
      <c r="D16" s="276">
        <v>38327</v>
      </c>
      <c r="E16" s="273">
        <v>39600</v>
      </c>
      <c r="F16" s="277"/>
      <c r="G16" s="139"/>
    </row>
    <row r="17" spans="1:7" ht="15">
      <c r="A17" s="264"/>
      <c r="B17" s="265"/>
      <c r="C17" s="201"/>
      <c r="D17" s="201"/>
      <c r="E17" s="201"/>
      <c r="F17" s="201"/>
      <c r="G17" s="201"/>
    </row>
    <row r="18" spans="1:7" ht="13.5" thickBot="1">
      <c r="A18" s="134"/>
      <c r="B18" s="135"/>
      <c r="C18" s="139"/>
      <c r="D18" s="275"/>
      <c r="E18" s="278"/>
      <c r="F18" s="138"/>
      <c r="G18" s="139"/>
    </row>
    <row r="19" spans="1:7" ht="18">
      <c r="A19" s="279"/>
      <c r="B19" s="280" t="s">
        <v>942</v>
      </c>
      <c r="C19" s="281"/>
      <c r="D19" s="282">
        <f>SUM(D2:D18)</f>
        <v>2193327</v>
      </c>
      <c r="E19" s="283"/>
      <c r="F19" s="284"/>
      <c r="G19" s="285"/>
    </row>
    <row r="20" spans="1:7" ht="12.75">
      <c r="A20" s="134"/>
      <c r="B20" s="135"/>
      <c r="C20" s="139"/>
      <c r="D20" s="275"/>
      <c r="E20" s="137"/>
      <c r="F20" s="138"/>
      <c r="G20" s="139"/>
    </row>
    <row r="21" spans="1:7" ht="15.75">
      <c r="A21" s="264">
        <v>2005</v>
      </c>
      <c r="B21" s="265" t="s">
        <v>1121</v>
      </c>
      <c r="C21" s="269"/>
      <c r="D21" s="276">
        <v>1000000</v>
      </c>
      <c r="E21" s="271"/>
      <c r="F21" s="272"/>
      <c r="G21" s="139"/>
    </row>
    <row r="22" spans="1:7" ht="15.75">
      <c r="A22" s="264"/>
      <c r="B22" s="265" t="s">
        <v>1122</v>
      </c>
      <c r="C22" s="286"/>
      <c r="D22" s="287">
        <f>-(D21-955600)</f>
        <v>-44400</v>
      </c>
      <c r="E22" s="288">
        <f>D21+D22</f>
        <v>955600</v>
      </c>
      <c r="G22" s="139"/>
    </row>
    <row r="23" spans="1:7" ht="15.75">
      <c r="A23" s="134"/>
      <c r="B23" s="18" t="s">
        <v>1123</v>
      </c>
      <c r="C23" s="201"/>
      <c r="D23" s="289">
        <v>1000000</v>
      </c>
      <c r="E23" s="137"/>
      <c r="G23" s="139"/>
    </row>
    <row r="24" spans="1:7" ht="15.75">
      <c r="A24" s="134"/>
      <c r="B24" s="135"/>
      <c r="C24" s="201"/>
      <c r="D24" s="290"/>
      <c r="E24" s="137"/>
      <c r="G24" s="139"/>
    </row>
    <row r="25" spans="1:7" ht="15.75">
      <c r="A25" s="134"/>
      <c r="B25" s="291" t="s">
        <v>1124</v>
      </c>
      <c r="C25" s="286" t="s">
        <v>1125</v>
      </c>
      <c r="D25" s="289">
        <f>SUM(D19:D24)</f>
        <v>4148927</v>
      </c>
      <c r="E25" s="137"/>
      <c r="G25" s="139"/>
    </row>
    <row r="26" spans="1:7" ht="12.75">
      <c r="A26" s="134"/>
      <c r="B26" s="135"/>
      <c r="C26" s="201"/>
      <c r="D26" s="275"/>
      <c r="E26" s="137"/>
      <c r="G26" s="139"/>
    </row>
    <row r="27" spans="1:7" ht="15.75">
      <c r="A27" s="134"/>
      <c r="B27" s="291" t="s">
        <v>1126</v>
      </c>
      <c r="C27" s="286" t="s">
        <v>1127</v>
      </c>
      <c r="D27" s="287">
        <f>'[2]Costs'!C14</f>
        <v>6260000</v>
      </c>
      <c r="E27" s="137"/>
      <c r="G27" s="139"/>
    </row>
    <row r="28" spans="1:7" ht="13.5" thickBot="1">
      <c r="A28" s="134"/>
      <c r="B28" s="135"/>
      <c r="C28" s="143"/>
      <c r="D28" s="106"/>
      <c r="E28" s="141"/>
      <c r="F28" s="142"/>
      <c r="G28" s="143"/>
    </row>
    <row r="29" spans="1:7" ht="16.5" thickBot="1">
      <c r="A29" s="134"/>
      <c r="B29" s="135"/>
      <c r="C29" s="292" t="s">
        <v>1128</v>
      </c>
      <c r="D29" s="293">
        <f>D27-D25</f>
        <v>2111073</v>
      </c>
      <c r="E29" s="141"/>
      <c r="G29" s="294"/>
    </row>
    <row r="30" spans="1:7" ht="12.75">
      <c r="A30" s="134"/>
      <c r="B30" s="135"/>
      <c r="C30" s="143"/>
      <c r="D30" s="106"/>
      <c r="E30" s="141"/>
      <c r="F30" s="142"/>
      <c r="G30" s="143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7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6.140625" style="2" customWidth="1"/>
    <col min="2" max="2" width="18.00390625" style="240" customWidth="1"/>
    <col min="9" max="9" width="25.421875" style="0" customWidth="1"/>
  </cols>
  <sheetData>
    <row r="2" spans="1:2" ht="15.75">
      <c r="A2" s="2">
        <v>1</v>
      </c>
      <c r="B2" s="240" t="s">
        <v>1067</v>
      </c>
    </row>
    <row r="3" spans="1:2" ht="15.75">
      <c r="A3" s="2">
        <v>1</v>
      </c>
      <c r="B3" s="240" t="s">
        <v>1071</v>
      </c>
    </row>
    <row r="4" spans="1:2" ht="15.75">
      <c r="A4" s="2">
        <v>2</v>
      </c>
      <c r="B4" s="240" t="s">
        <v>1068</v>
      </c>
    </row>
    <row r="5" spans="1:2" ht="15.75">
      <c r="A5" s="2">
        <v>3</v>
      </c>
      <c r="B5" s="240" t="s">
        <v>1066</v>
      </c>
    </row>
    <row r="6" spans="1:2" ht="15.75">
      <c r="A6" s="2">
        <v>4</v>
      </c>
      <c r="B6" s="240" t="s">
        <v>1069</v>
      </c>
    </row>
    <row r="7" spans="1:2" ht="15.75">
      <c r="A7" s="2">
        <v>5</v>
      </c>
      <c r="B7" s="240" t="s">
        <v>1070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1"/>
  <sheetViews>
    <sheetView zoomScale="130" zoomScaleNormal="130" zoomScalePageLayoutView="0" workbookViewId="0" topLeftCell="A1">
      <selection activeCell="A19" sqref="A19"/>
    </sheetView>
  </sheetViews>
  <sheetFormatPr defaultColWidth="9.140625" defaultRowHeight="12.75"/>
  <cols>
    <col min="1" max="1" width="20.7109375" style="2" customWidth="1"/>
    <col min="2" max="8" width="11.28125" style="2" customWidth="1"/>
    <col min="9" max="9" width="11.8515625" style="2" customWidth="1"/>
  </cols>
  <sheetData>
    <row r="1" ht="18">
      <c r="A1" s="524" t="s">
        <v>1053</v>
      </c>
    </row>
    <row r="2" ht="13.5" thickBot="1"/>
    <row r="3" spans="2:6" ht="15.75">
      <c r="B3" s="522" t="s">
        <v>1291</v>
      </c>
      <c r="C3" s="525"/>
      <c r="D3" s="69"/>
      <c r="E3" s="530" t="s">
        <v>1298</v>
      </c>
      <c r="F3" s="69"/>
    </row>
    <row r="4" spans="2:6" ht="12.75">
      <c r="B4" s="526" t="s">
        <v>1054</v>
      </c>
      <c r="C4" s="645">
        <f>110+10/12</f>
        <v>110.83333333333333</v>
      </c>
      <c r="D4" s="299" t="s">
        <v>1051</v>
      </c>
      <c r="E4" s="70">
        <v>18.7</v>
      </c>
      <c r="F4" s="299" t="s">
        <v>1299</v>
      </c>
    </row>
    <row r="5" spans="2:6" ht="12.75">
      <c r="B5" s="526" t="s">
        <v>1055</v>
      </c>
      <c r="C5" s="646">
        <f>41+4/12</f>
        <v>41.333333333333336</v>
      </c>
      <c r="D5" s="299" t="s">
        <v>1051</v>
      </c>
      <c r="E5" s="545">
        <v>6.3</v>
      </c>
      <c r="F5" s="299" t="s">
        <v>1299</v>
      </c>
    </row>
    <row r="6" spans="2:6" ht="13.5" thickBot="1">
      <c r="B6" s="224"/>
      <c r="C6" s="527">
        <f>C5*C4</f>
        <v>4581.111111111111</v>
      </c>
      <c r="D6" s="528" t="s">
        <v>1283</v>
      </c>
      <c r="E6" s="224">
        <f>E4*E5</f>
        <v>117.80999999999999</v>
      </c>
      <c r="F6" s="528" t="s">
        <v>1300</v>
      </c>
    </row>
    <row r="7" spans="3:4" ht="13.5" thickBot="1">
      <c r="C7" s="215"/>
      <c r="D7" s="529"/>
    </row>
    <row r="8" spans="1:9" ht="12.75">
      <c r="A8" s="530" t="s">
        <v>1304</v>
      </c>
      <c r="B8" s="525"/>
      <c r="C8" s="525"/>
      <c r="D8" s="525"/>
      <c r="E8" s="525"/>
      <c r="F8" s="525"/>
      <c r="G8" s="525"/>
      <c r="H8" s="525"/>
      <c r="I8" s="69"/>
    </row>
    <row r="9" spans="1:9" ht="12.75">
      <c r="A9" s="70"/>
      <c r="B9" s="215"/>
      <c r="C9" s="436" t="s">
        <v>1301</v>
      </c>
      <c r="D9" s="215" t="s">
        <v>1302</v>
      </c>
      <c r="E9" s="215" t="s">
        <v>1303</v>
      </c>
      <c r="F9" s="215" t="s">
        <v>1297</v>
      </c>
      <c r="G9" s="215" t="s">
        <v>1296</v>
      </c>
      <c r="H9" s="215" t="s">
        <v>1306</v>
      </c>
      <c r="I9" s="299" t="s">
        <v>1307</v>
      </c>
    </row>
    <row r="10" spans="1:9" ht="12.75">
      <c r="A10" s="544" t="s">
        <v>834</v>
      </c>
      <c r="B10" s="215"/>
      <c r="C10" s="215">
        <v>5.4</v>
      </c>
      <c r="D10" s="215">
        <v>6.3</v>
      </c>
      <c r="E10" s="215">
        <f>D10*C10</f>
        <v>34.02</v>
      </c>
      <c r="F10" s="215"/>
      <c r="G10" s="215"/>
      <c r="H10" s="215">
        <f>SUM(E10:G10)</f>
        <v>34.02</v>
      </c>
      <c r="I10" s="416">
        <f>H10/H$14</f>
        <v>0.2887700534759359</v>
      </c>
    </row>
    <row r="11" spans="1:9" ht="12.75">
      <c r="A11" s="544" t="s">
        <v>1288</v>
      </c>
      <c r="B11" s="215"/>
      <c r="C11" s="215">
        <v>6.6</v>
      </c>
      <c r="D11" s="215">
        <v>6.3</v>
      </c>
      <c r="E11" s="215">
        <f>D11*C11</f>
        <v>41.58</v>
      </c>
      <c r="F11" s="215"/>
      <c r="G11" s="215"/>
      <c r="H11" s="215">
        <f>SUM(E11:G11)</f>
        <v>41.58</v>
      </c>
      <c r="I11" s="416">
        <f>H11/H$14</f>
        <v>0.35294117647058826</v>
      </c>
    </row>
    <row r="12" spans="1:9" ht="12.75">
      <c r="A12" s="544" t="s">
        <v>1289</v>
      </c>
      <c r="B12" s="215"/>
      <c r="C12" s="215">
        <v>3.9</v>
      </c>
      <c r="D12" s="215">
        <v>4.2</v>
      </c>
      <c r="E12" s="215">
        <f>D12*C12</f>
        <v>16.38</v>
      </c>
      <c r="F12" s="215"/>
      <c r="G12" s="546">
        <f>E15/2</f>
        <v>3.8849999999999993</v>
      </c>
      <c r="H12" s="215">
        <f>SUM(E12:G12)</f>
        <v>20.264999999999997</v>
      </c>
      <c r="I12" s="416">
        <f>H12/H$14</f>
        <v>0.17201426024955435</v>
      </c>
    </row>
    <row r="13" spans="1:9" ht="12.75">
      <c r="A13" s="544" t="s">
        <v>1290</v>
      </c>
      <c r="B13" s="215"/>
      <c r="C13" s="215">
        <v>2.8</v>
      </c>
      <c r="D13" s="215">
        <v>6.3</v>
      </c>
      <c r="E13" s="215">
        <f>D13*C13</f>
        <v>17.639999999999997</v>
      </c>
      <c r="F13" s="215">
        <v>0.42</v>
      </c>
      <c r="G13" s="546">
        <f>G12</f>
        <v>3.8849999999999993</v>
      </c>
      <c r="H13" s="547">
        <f>SUM(E13:G13)</f>
        <v>21.944999999999997</v>
      </c>
      <c r="I13" s="416">
        <f>H13/H$14</f>
        <v>0.18627450980392157</v>
      </c>
    </row>
    <row r="14" spans="1:9" ht="12.75">
      <c r="A14" s="70"/>
      <c r="B14" s="215"/>
      <c r="C14" s="215"/>
      <c r="D14" s="215"/>
      <c r="E14" s="215"/>
      <c r="F14" s="215"/>
      <c r="G14" s="215"/>
      <c r="H14" s="215">
        <f>SUM(H10:H13)</f>
        <v>117.80999999999999</v>
      </c>
      <c r="I14" s="299"/>
    </row>
    <row r="15" spans="1:9" ht="13.5" thickBot="1">
      <c r="A15" s="224" t="s">
        <v>1295</v>
      </c>
      <c r="B15" s="225"/>
      <c r="C15" s="225">
        <v>3.7</v>
      </c>
      <c r="D15" s="225">
        <f>D11-D12</f>
        <v>2.0999999999999996</v>
      </c>
      <c r="E15" s="225">
        <f>D15*C15</f>
        <v>7.769999999999999</v>
      </c>
      <c r="F15" s="225"/>
      <c r="G15" s="225"/>
      <c r="H15" s="225"/>
      <c r="I15" s="528"/>
    </row>
    <row r="16" spans="1:9" ht="13.5" thickBot="1">
      <c r="A16" s="215"/>
      <c r="B16" s="215"/>
      <c r="C16" s="215"/>
      <c r="D16" s="215"/>
      <c r="E16" s="215"/>
      <c r="F16" s="215"/>
      <c r="G16" s="215"/>
      <c r="H16" s="215"/>
      <c r="I16" s="215"/>
    </row>
    <row r="17" spans="2:6" ht="12.75">
      <c r="B17" s="530"/>
      <c r="C17" s="525"/>
      <c r="D17" s="525" t="s">
        <v>910</v>
      </c>
      <c r="E17" s="525"/>
      <c r="F17" s="69"/>
    </row>
    <row r="18" spans="2:6" ht="15.75">
      <c r="B18" s="521" t="s">
        <v>396</v>
      </c>
      <c r="C18" s="531" t="s">
        <v>1285</v>
      </c>
      <c r="D18" s="531">
        <v>280</v>
      </c>
      <c r="E18" s="531">
        <v>12</v>
      </c>
      <c r="F18" s="92">
        <f>E18*D18</f>
        <v>3360</v>
      </c>
    </row>
    <row r="19" spans="2:6" ht="12.75">
      <c r="B19" s="374"/>
      <c r="C19" s="531" t="s">
        <v>1286</v>
      </c>
      <c r="D19" s="531">
        <v>30</v>
      </c>
      <c r="E19" s="531">
        <v>12</v>
      </c>
      <c r="F19" s="532">
        <f>E19*D19</f>
        <v>360</v>
      </c>
    </row>
    <row r="20" spans="2:6" ht="12.75">
      <c r="B20" s="374"/>
      <c r="C20" s="531"/>
      <c r="D20" s="531"/>
      <c r="E20" s="531" t="s">
        <v>1292</v>
      </c>
      <c r="F20" s="92">
        <f>SUM(F18:F19)</f>
        <v>3720</v>
      </c>
    </row>
    <row r="21" spans="2:6" ht="12.75">
      <c r="B21" s="374"/>
      <c r="C21" s="531"/>
      <c r="D21" s="531" t="s">
        <v>1287</v>
      </c>
      <c r="E21" s="531"/>
      <c r="F21" s="532">
        <v>4861.39</v>
      </c>
    </row>
    <row r="22" spans="2:6" ht="12.75">
      <c r="B22" s="70"/>
      <c r="C22" s="531"/>
      <c r="D22" s="531"/>
      <c r="E22" s="531" t="s">
        <v>1292</v>
      </c>
      <c r="F22" s="92">
        <f>F20+F21</f>
        <v>8581.39</v>
      </c>
    </row>
    <row r="23" spans="2:6" ht="15.75">
      <c r="B23" s="543" t="s">
        <v>1284</v>
      </c>
      <c r="C23" s="531"/>
      <c r="E23" s="531"/>
      <c r="F23" s="532">
        <v>54000</v>
      </c>
    </row>
    <row r="24" spans="2:6" ht="13.5" thickBot="1">
      <c r="B24" s="533"/>
      <c r="C24" s="534"/>
      <c r="D24" s="534"/>
      <c r="E24" s="534" t="s">
        <v>1127</v>
      </c>
      <c r="F24" s="93">
        <f>F22+F23</f>
        <v>62581.39</v>
      </c>
    </row>
    <row r="25" ht="13.5" thickBot="1"/>
    <row r="26" spans="1:8" ht="26.25">
      <c r="A26" s="523" t="s">
        <v>1293</v>
      </c>
      <c r="B26" s="370"/>
      <c r="C26" s="525"/>
      <c r="D26" s="525" t="s">
        <v>1305</v>
      </c>
      <c r="E26" s="525" t="s">
        <v>894</v>
      </c>
      <c r="F26" s="525" t="s">
        <v>396</v>
      </c>
      <c r="G26" s="54" t="s">
        <v>1052</v>
      </c>
      <c r="H26" s="55" t="s">
        <v>1294</v>
      </c>
    </row>
    <row r="27" spans="1:8" ht="12.75">
      <c r="A27" s="526" t="s">
        <v>834</v>
      </c>
      <c r="B27" s="529"/>
      <c r="C27" s="415">
        <f>I10</f>
        <v>0.2887700534759359</v>
      </c>
      <c r="D27" s="531">
        <f>C27*C$6</f>
        <v>1322.8877005347597</v>
      </c>
      <c r="E27" s="61">
        <f>F$23*C27</f>
        <v>15593.582887700537</v>
      </c>
      <c r="F27" s="61">
        <f>C27*F$22</f>
        <v>2478.0484491978614</v>
      </c>
      <c r="G27" s="535">
        <f>C27*G$31</f>
        <v>18071.631336898397</v>
      </c>
      <c r="H27" s="223">
        <v>18000</v>
      </c>
    </row>
    <row r="28" spans="1:8" ht="12.75">
      <c r="A28" s="526" t="s">
        <v>1288</v>
      </c>
      <c r="B28" s="529"/>
      <c r="C28" s="415">
        <f>I11</f>
        <v>0.35294117647058826</v>
      </c>
      <c r="D28" s="531">
        <f>C28*C$6</f>
        <v>1616.8627450980393</v>
      </c>
      <c r="E28" s="61">
        <f>F$23*C28</f>
        <v>19058.823529411766</v>
      </c>
      <c r="F28" s="61">
        <f>C28*F$22</f>
        <v>3028.725882352941</v>
      </c>
      <c r="G28" s="535">
        <f>C28*G$31</f>
        <v>22087.549411764707</v>
      </c>
      <c r="H28" s="223"/>
    </row>
    <row r="29" spans="1:8" ht="12.75">
      <c r="A29" s="526" t="s">
        <v>1289</v>
      </c>
      <c r="B29" s="529"/>
      <c r="C29" s="415">
        <f>I12</f>
        <v>0.17201426024955435</v>
      </c>
      <c r="D29" s="531">
        <f>C29*C$6</f>
        <v>788.0164388987918</v>
      </c>
      <c r="E29" s="61">
        <f>F$23*C29</f>
        <v>9288.770053475935</v>
      </c>
      <c r="F29" s="61">
        <f>C29*F$22</f>
        <v>1476.1214527629231</v>
      </c>
      <c r="G29" s="535">
        <f>C29*G$31</f>
        <v>10764.891506238859</v>
      </c>
      <c r="H29" s="223">
        <f>723.5*12</f>
        <v>8682</v>
      </c>
    </row>
    <row r="30" spans="1:8" ht="12.75">
      <c r="A30" s="526" t="s">
        <v>1290</v>
      </c>
      <c r="B30" s="536"/>
      <c r="C30" s="537">
        <f>I13</f>
        <v>0.18627450980392157</v>
      </c>
      <c r="D30" s="538">
        <f>C30*C$6</f>
        <v>853.3442265795208</v>
      </c>
      <c r="E30" s="576">
        <f>F$23*C30</f>
        <v>10058.823529411766</v>
      </c>
      <c r="F30" s="576">
        <f>C30*F$22</f>
        <v>1598.4942156862744</v>
      </c>
      <c r="G30" s="539">
        <f>C30*G$31</f>
        <v>11657.31774509804</v>
      </c>
      <c r="H30" s="299"/>
    </row>
    <row r="31" spans="1:8" ht="13.5" thickBot="1">
      <c r="A31" s="540"/>
      <c r="B31" s="541"/>
      <c r="C31" s="433">
        <f>SUM(C27:C30)</f>
        <v>1</v>
      </c>
      <c r="D31" s="534">
        <f>SUM(D27:D30)</f>
        <v>4581.111111111111</v>
      </c>
      <c r="E31" s="534">
        <f>SUM(E27:E30)</f>
        <v>54000</v>
      </c>
      <c r="F31" s="534">
        <f>SUM(F27:F30)</f>
        <v>8581.39</v>
      </c>
      <c r="G31" s="542">
        <f>F24</f>
        <v>62581.39</v>
      </c>
      <c r="H31" s="528"/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5.8515625" style="134" customWidth="1"/>
    <col min="2" max="2" width="38.28125" style="135" customWidth="1"/>
    <col min="3" max="4" width="10.7109375" style="140" customWidth="1"/>
    <col min="5" max="5" width="10.28125" style="141" customWidth="1"/>
    <col min="6" max="6" width="9.7109375" style="142" customWidth="1"/>
    <col min="7" max="7" width="8.7109375" style="143" customWidth="1"/>
  </cols>
  <sheetData>
    <row r="1" spans="1:7" s="201" customFormat="1" ht="27.75" customHeight="1">
      <c r="A1" s="118" t="s">
        <v>933</v>
      </c>
      <c r="B1" s="118" t="s">
        <v>934</v>
      </c>
      <c r="C1" s="119" t="s">
        <v>935</v>
      </c>
      <c r="D1" s="119" t="s">
        <v>1024</v>
      </c>
      <c r="E1" s="120" t="s">
        <v>936</v>
      </c>
      <c r="F1" s="121" t="s">
        <v>937</v>
      </c>
      <c r="G1" s="122" t="s">
        <v>938</v>
      </c>
    </row>
    <row r="2" spans="1:7" ht="12.75">
      <c r="A2" s="111"/>
      <c r="B2" s="116"/>
      <c r="C2" s="123"/>
      <c r="D2" s="123"/>
      <c r="E2" s="124"/>
      <c r="F2" s="125"/>
      <c r="G2" s="113"/>
    </row>
    <row r="3" spans="1:7" ht="25.5">
      <c r="A3" s="111">
        <v>2003</v>
      </c>
      <c r="B3" s="116" t="s">
        <v>939</v>
      </c>
      <c r="C3" s="123">
        <v>55000</v>
      </c>
      <c r="D3" s="685" t="s">
        <v>1453</v>
      </c>
      <c r="E3" s="124"/>
      <c r="F3" s="125"/>
      <c r="G3" s="113"/>
    </row>
    <row r="4" spans="1:7" ht="13.5" thickBot="1">
      <c r="A4" s="111"/>
      <c r="B4" s="116"/>
      <c r="C4" s="123"/>
      <c r="D4" s="123"/>
      <c r="E4" s="124"/>
      <c r="F4" s="125"/>
      <c r="G4" s="113"/>
    </row>
    <row r="5" spans="1:7" s="15" customFormat="1" ht="25.5">
      <c r="A5" s="128">
        <v>2000</v>
      </c>
      <c r="B5" s="129" t="s">
        <v>940</v>
      </c>
      <c r="C5" s="130">
        <v>50000</v>
      </c>
      <c r="D5" s="130"/>
      <c r="E5" s="152">
        <v>40359</v>
      </c>
      <c r="G5" s="133"/>
    </row>
    <row r="6" spans="1:7" s="15" customFormat="1" ht="12.75">
      <c r="A6" s="153"/>
      <c r="B6" s="154"/>
      <c r="C6" s="155"/>
      <c r="D6" s="155"/>
      <c r="E6" s="156"/>
      <c r="G6" s="157"/>
    </row>
    <row r="7" spans="1:7" s="15" customFormat="1" ht="25.5">
      <c r="A7" s="153">
        <v>2000</v>
      </c>
      <c r="B7" s="154" t="s">
        <v>941</v>
      </c>
      <c r="C7" s="155">
        <v>25000</v>
      </c>
      <c r="D7" s="155"/>
      <c r="E7" s="163">
        <v>40359</v>
      </c>
      <c r="G7" s="157"/>
    </row>
    <row r="8" spans="1:7" ht="13.5" thickBot="1">
      <c r="A8" s="158"/>
      <c r="B8" s="159"/>
      <c r="C8" s="160"/>
      <c r="D8" s="164">
        <f>C7+C5</f>
        <v>75000</v>
      </c>
      <c r="E8" s="165"/>
      <c r="F8" s="161"/>
      <c r="G8" s="162"/>
    </row>
    <row r="9" spans="1:7" ht="12.75">
      <c r="A9" s="111"/>
      <c r="B9" s="116"/>
      <c r="C9" s="123"/>
      <c r="D9" s="123"/>
      <c r="E9" s="126"/>
      <c r="F9" s="127"/>
      <c r="G9" s="113"/>
    </row>
    <row r="10" spans="1:8" ht="12.75">
      <c r="A10" s="111">
        <v>2008</v>
      </c>
      <c r="B10" s="116" t="s">
        <v>824</v>
      </c>
      <c r="C10" s="144">
        <v>200000</v>
      </c>
      <c r="D10" s="144"/>
      <c r="E10" s="144"/>
      <c r="F10" s="144"/>
      <c r="G10" s="144"/>
      <c r="H10" s="26"/>
    </row>
    <row r="11" spans="1:8" ht="12.75">
      <c r="A11" s="111"/>
      <c r="B11" s="116" t="s">
        <v>1356</v>
      </c>
      <c r="C11" s="144">
        <v>40000</v>
      </c>
      <c r="D11" s="144"/>
      <c r="E11" s="144"/>
      <c r="F11" s="144"/>
      <c r="G11" s="144"/>
      <c r="H11" s="26"/>
    </row>
    <row r="12" spans="1:8" ht="12.75">
      <c r="A12" s="111"/>
      <c r="B12" s="116" t="s">
        <v>943</v>
      </c>
      <c r="C12" s="146">
        <v>510000</v>
      </c>
      <c r="D12" s="146"/>
      <c r="E12" s="145"/>
      <c r="F12" s="144"/>
      <c r="G12" s="146"/>
      <c r="H12" s="26"/>
    </row>
    <row r="13" spans="1:8" ht="13.5" thickBot="1">
      <c r="A13" s="111"/>
      <c r="B13" s="116" t="s">
        <v>480</v>
      </c>
      <c r="C13" s="146">
        <v>100000</v>
      </c>
      <c r="D13" s="146"/>
      <c r="E13" s="145"/>
      <c r="F13" s="144"/>
      <c r="G13" s="146"/>
      <c r="H13" s="26"/>
    </row>
    <row r="14" spans="1:7" ht="12.75">
      <c r="A14" s="128"/>
      <c r="B14" s="129" t="s">
        <v>942</v>
      </c>
      <c r="C14" s="130">
        <f>SUM(C2:C13)</f>
        <v>980000</v>
      </c>
      <c r="D14" s="130"/>
      <c r="E14" s="131"/>
      <c r="F14" s="132"/>
      <c r="G14" s="133"/>
    </row>
    <row r="15" spans="3:7" ht="12.75">
      <c r="C15" s="136"/>
      <c r="D15" s="136"/>
      <c r="E15" s="137"/>
      <c r="F15" s="138"/>
      <c r="G15" s="139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30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8.00390625" style="0" customWidth="1"/>
    <col min="2" max="2" width="29.00390625" style="0" customWidth="1"/>
    <col min="3" max="4" width="30.140625" style="0" hidden="1" customWidth="1"/>
    <col min="5" max="5" width="9.7109375" style="0" customWidth="1"/>
    <col min="6" max="7" width="9.8515625" style="0" customWidth="1"/>
    <col min="8" max="8" width="9.8515625" style="167" customWidth="1"/>
    <col min="9" max="11" width="9.8515625" style="26" customWidth="1"/>
    <col min="12" max="12" width="12.00390625" style="0" customWidth="1"/>
  </cols>
  <sheetData>
    <row r="2" spans="1:12" s="362" customFormat="1" ht="17.25" customHeight="1">
      <c r="A2" s="357" t="s">
        <v>944</v>
      </c>
      <c r="B2" s="357" t="s">
        <v>945</v>
      </c>
      <c r="C2" s="358" t="s">
        <v>946</v>
      </c>
      <c r="D2" s="357" t="s">
        <v>923</v>
      </c>
      <c r="E2" s="357" t="s">
        <v>1199</v>
      </c>
      <c r="F2" s="359">
        <v>2009</v>
      </c>
      <c r="G2" s="359">
        <v>2010</v>
      </c>
      <c r="H2" s="359">
        <v>2011</v>
      </c>
      <c r="I2" s="359">
        <v>2012</v>
      </c>
      <c r="J2" s="359">
        <v>2013</v>
      </c>
      <c r="K2" s="360">
        <v>2014</v>
      </c>
      <c r="L2" s="361" t="s">
        <v>795</v>
      </c>
    </row>
    <row r="3" spans="1:12" s="364" customFormat="1" ht="17.25" customHeight="1">
      <c r="A3" s="363" t="s">
        <v>967</v>
      </c>
      <c r="B3" s="363" t="s">
        <v>1198</v>
      </c>
      <c r="C3" s="363" t="s">
        <v>947</v>
      </c>
      <c r="D3" s="363" t="s">
        <v>968</v>
      </c>
      <c r="E3" s="363">
        <v>200000</v>
      </c>
      <c r="F3" s="363">
        <v>2000000</v>
      </c>
      <c r="G3" s="363">
        <v>0</v>
      </c>
      <c r="H3" s="363">
        <v>0</v>
      </c>
      <c r="I3" s="363">
        <v>0</v>
      </c>
      <c r="J3" s="363">
        <v>0</v>
      </c>
      <c r="K3" s="363">
        <v>0</v>
      </c>
      <c r="L3" s="363">
        <f>SUM(F3:K3)</f>
        <v>2000000</v>
      </c>
    </row>
    <row r="4" spans="1:12" s="364" customFormat="1" ht="17.25" customHeight="1">
      <c r="A4" s="363" t="s">
        <v>969</v>
      </c>
      <c r="B4" s="363" t="s">
        <v>949</v>
      </c>
      <c r="C4" s="363" t="s">
        <v>970</v>
      </c>
      <c r="D4" s="363" t="s">
        <v>971</v>
      </c>
      <c r="E4" s="363"/>
      <c r="F4" s="363">
        <v>250000</v>
      </c>
      <c r="G4" s="363">
        <v>250000</v>
      </c>
      <c r="H4" s="363">
        <v>0</v>
      </c>
      <c r="I4" s="363">
        <v>0</v>
      </c>
      <c r="J4" s="363">
        <v>0</v>
      </c>
      <c r="K4" s="363">
        <v>0</v>
      </c>
      <c r="L4" s="363">
        <f aca="true" t="shared" si="0" ref="L4:L15">SUM(F4:K4)</f>
        <v>500000</v>
      </c>
    </row>
    <row r="5" spans="1:12" s="364" customFormat="1" ht="17.25" customHeight="1">
      <c r="A5" s="363" t="s">
        <v>972</v>
      </c>
      <c r="B5" s="363" t="s">
        <v>973</v>
      </c>
      <c r="C5" s="363" t="s">
        <v>974</v>
      </c>
      <c r="D5" s="363" t="s">
        <v>975</v>
      </c>
      <c r="E5" s="363">
        <v>200000</v>
      </c>
      <c r="F5" s="363">
        <v>250000</v>
      </c>
      <c r="G5" s="363">
        <v>375000</v>
      </c>
      <c r="H5" s="363">
        <v>375000</v>
      </c>
      <c r="I5" s="363">
        <v>375000</v>
      </c>
      <c r="J5" s="363">
        <v>375000</v>
      </c>
      <c r="K5" s="363">
        <v>0</v>
      </c>
      <c r="L5" s="363">
        <f t="shared" si="0"/>
        <v>1750000</v>
      </c>
    </row>
    <row r="6" spans="1:12" s="364" customFormat="1" ht="17.25" customHeight="1">
      <c r="A6" s="363" t="s">
        <v>976</v>
      </c>
      <c r="B6" s="363" t="s">
        <v>977</v>
      </c>
      <c r="C6" s="363" t="s">
        <v>970</v>
      </c>
      <c r="D6" s="363" t="s">
        <v>978</v>
      </c>
      <c r="E6" s="363"/>
      <c r="F6" s="363">
        <v>75000</v>
      </c>
      <c r="G6" s="363">
        <v>75000</v>
      </c>
      <c r="H6" s="363">
        <v>0</v>
      </c>
      <c r="I6" s="363">
        <v>0</v>
      </c>
      <c r="J6" s="363">
        <v>0</v>
      </c>
      <c r="K6" s="363">
        <v>0</v>
      </c>
      <c r="L6" s="363">
        <f t="shared" si="0"/>
        <v>150000</v>
      </c>
    </row>
    <row r="7" spans="1:12" s="364" customFormat="1" ht="17.25" customHeight="1">
      <c r="A7" s="363" t="s">
        <v>979</v>
      </c>
      <c r="B7" s="363" t="s">
        <v>980</v>
      </c>
      <c r="C7" s="363" t="s">
        <v>948</v>
      </c>
      <c r="D7" s="363" t="s">
        <v>981</v>
      </c>
      <c r="E7" s="363"/>
      <c r="F7" s="363">
        <v>2000000</v>
      </c>
      <c r="G7" s="363">
        <v>450000</v>
      </c>
      <c r="H7" s="363">
        <v>335000</v>
      </c>
      <c r="I7" s="363">
        <v>150000</v>
      </c>
      <c r="J7" s="363">
        <v>0</v>
      </c>
      <c r="K7" s="363">
        <v>0</v>
      </c>
      <c r="L7" s="363">
        <f t="shared" si="0"/>
        <v>2935000</v>
      </c>
    </row>
    <row r="8" spans="1:12" s="364" customFormat="1" ht="17.25" customHeight="1">
      <c r="A8" s="363" t="s">
        <v>982</v>
      </c>
      <c r="B8" s="363" t="s">
        <v>983</v>
      </c>
      <c r="C8" s="363" t="s">
        <v>950</v>
      </c>
      <c r="D8" s="363" t="s">
        <v>975</v>
      </c>
      <c r="E8" s="363">
        <v>510000</v>
      </c>
      <c r="F8" s="363">
        <v>25000</v>
      </c>
      <c r="G8" s="363">
        <v>50000</v>
      </c>
      <c r="H8" s="363">
        <v>0</v>
      </c>
      <c r="I8" s="363">
        <v>0</v>
      </c>
      <c r="J8" s="363">
        <v>0</v>
      </c>
      <c r="K8" s="363">
        <v>0</v>
      </c>
      <c r="L8" s="363">
        <f t="shared" si="0"/>
        <v>75000</v>
      </c>
    </row>
    <row r="9" spans="1:12" s="364" customFormat="1" ht="17.25" customHeight="1">
      <c r="A9" s="363" t="s">
        <v>984</v>
      </c>
      <c r="B9" s="363" t="s">
        <v>985</v>
      </c>
      <c r="C9" s="363" t="s">
        <v>970</v>
      </c>
      <c r="D9" s="363" t="s">
        <v>975</v>
      </c>
      <c r="E9" s="363"/>
      <c r="F9" s="363">
        <v>15000</v>
      </c>
      <c r="G9" s="363">
        <v>30000</v>
      </c>
      <c r="H9" s="363">
        <v>50000</v>
      </c>
      <c r="I9" s="363">
        <v>25000</v>
      </c>
      <c r="J9" s="363">
        <v>15000</v>
      </c>
      <c r="K9" s="363">
        <v>0</v>
      </c>
      <c r="L9" s="363">
        <f t="shared" si="0"/>
        <v>135000</v>
      </c>
    </row>
    <row r="10" spans="1:12" s="364" customFormat="1" ht="17.25" customHeight="1">
      <c r="A10" s="363"/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>
        <f t="shared" si="0"/>
        <v>0</v>
      </c>
    </row>
    <row r="11" spans="1:12" s="364" customFormat="1" ht="17.25" customHeight="1">
      <c r="A11" s="363" t="s">
        <v>986</v>
      </c>
      <c r="B11" s="363" t="s">
        <v>987</v>
      </c>
      <c r="C11" s="363" t="s">
        <v>970</v>
      </c>
      <c r="D11" s="363" t="s">
        <v>975</v>
      </c>
      <c r="E11" s="363"/>
      <c r="F11" s="363"/>
      <c r="G11" s="363">
        <v>1000000</v>
      </c>
      <c r="H11" s="363">
        <f>G11</f>
        <v>1000000</v>
      </c>
      <c r="I11" s="363">
        <f>H11</f>
        <v>1000000</v>
      </c>
      <c r="J11" s="363">
        <f>I11</f>
        <v>1000000</v>
      </c>
      <c r="K11" s="363">
        <f>J11</f>
        <v>1000000</v>
      </c>
      <c r="L11" s="363">
        <f t="shared" si="0"/>
        <v>5000000</v>
      </c>
    </row>
    <row r="12" spans="1:12" s="364" customFormat="1" ht="17.25" customHeight="1">
      <c r="A12" s="363" t="s">
        <v>988</v>
      </c>
      <c r="B12" s="363" t="s">
        <v>989</v>
      </c>
      <c r="C12" s="363" t="s">
        <v>990</v>
      </c>
      <c r="D12" s="363" t="s">
        <v>978</v>
      </c>
      <c r="E12" s="363"/>
      <c r="F12" s="363"/>
      <c r="G12" s="363">
        <v>2500</v>
      </c>
      <c r="H12" s="363">
        <v>2500</v>
      </c>
      <c r="I12" s="363">
        <v>2500</v>
      </c>
      <c r="J12" s="363">
        <v>2500</v>
      </c>
      <c r="K12" s="363">
        <v>2500</v>
      </c>
      <c r="L12" s="363">
        <f t="shared" si="0"/>
        <v>12500</v>
      </c>
    </row>
    <row r="13" spans="1:12" s="364" customFormat="1" ht="17.25" customHeight="1">
      <c r="A13" s="363" t="s">
        <v>991</v>
      </c>
      <c r="B13" s="363" t="s">
        <v>992</v>
      </c>
      <c r="C13" s="363" t="s">
        <v>970</v>
      </c>
      <c r="D13" s="363" t="s">
        <v>975</v>
      </c>
      <c r="E13" s="363"/>
      <c r="F13" s="363"/>
      <c r="G13" s="363">
        <v>30000</v>
      </c>
      <c r="H13" s="363">
        <v>30000</v>
      </c>
      <c r="I13" s="363">
        <v>30000</v>
      </c>
      <c r="J13" s="363">
        <v>30000</v>
      </c>
      <c r="K13" s="363">
        <v>0</v>
      </c>
      <c r="L13" s="363">
        <f t="shared" si="0"/>
        <v>120000</v>
      </c>
    </row>
    <row r="14" spans="1:12" s="364" customFormat="1" ht="17.25" customHeight="1">
      <c r="A14" s="363" t="s">
        <v>993</v>
      </c>
      <c r="B14" s="363" t="s">
        <v>994</v>
      </c>
      <c r="C14" s="363" t="s">
        <v>948</v>
      </c>
      <c r="D14" s="363" t="s">
        <v>975</v>
      </c>
      <c r="E14" s="363"/>
      <c r="F14" s="363"/>
      <c r="G14" s="363">
        <v>1500000</v>
      </c>
      <c r="H14" s="363">
        <v>500000</v>
      </c>
      <c r="I14" s="363">
        <v>150000</v>
      </c>
      <c r="J14" s="363">
        <v>150000</v>
      </c>
      <c r="K14" s="363">
        <v>75000</v>
      </c>
      <c r="L14" s="363">
        <f t="shared" si="0"/>
        <v>2375000</v>
      </c>
    </row>
    <row r="15" spans="1:12" s="364" customFormat="1" ht="17.25" customHeight="1">
      <c r="A15" s="363" t="s">
        <v>995</v>
      </c>
      <c r="B15" s="363" t="s">
        <v>996</v>
      </c>
      <c r="C15" s="363" t="s">
        <v>990</v>
      </c>
      <c r="D15" s="363" t="s">
        <v>997</v>
      </c>
      <c r="E15" s="363"/>
      <c r="F15" s="363"/>
      <c r="G15" s="363">
        <v>200000</v>
      </c>
      <c r="H15" s="363">
        <v>500000</v>
      </c>
      <c r="I15" s="363">
        <v>1500000</v>
      </c>
      <c r="J15" s="363">
        <v>300000</v>
      </c>
      <c r="K15" s="363">
        <v>300000</v>
      </c>
      <c r="L15" s="363">
        <f t="shared" si="0"/>
        <v>2800000</v>
      </c>
    </row>
    <row r="16" spans="1:12" s="364" customFormat="1" ht="12">
      <c r="A16" s="363"/>
      <c r="B16" s="363"/>
      <c r="C16" s="363"/>
      <c r="D16" s="363"/>
      <c r="E16" s="363"/>
      <c r="F16" s="363"/>
      <c r="G16" s="363"/>
      <c r="H16" s="363"/>
      <c r="I16" s="363"/>
      <c r="J16" s="363"/>
      <c r="K16" s="363"/>
      <c r="L16" s="363"/>
    </row>
    <row r="17" spans="1:12" s="367" customFormat="1" ht="11.25">
      <c r="A17" s="365"/>
      <c r="B17" s="329"/>
      <c r="C17" s="365"/>
      <c r="D17" s="356" t="s">
        <v>998</v>
      </c>
      <c r="E17" s="356"/>
      <c r="F17" s="366">
        <f aca="true" t="shared" si="1" ref="F17:L17">SUM(F3:F15)</f>
        <v>4615000</v>
      </c>
      <c r="G17" s="366">
        <f t="shared" si="1"/>
        <v>3962500</v>
      </c>
      <c r="H17" s="366">
        <f t="shared" si="1"/>
        <v>2792500</v>
      </c>
      <c r="I17" s="366">
        <f t="shared" si="1"/>
        <v>3232500</v>
      </c>
      <c r="J17" s="366">
        <f t="shared" si="1"/>
        <v>1872500</v>
      </c>
      <c r="K17" s="366">
        <f t="shared" si="1"/>
        <v>1377500</v>
      </c>
      <c r="L17" s="366">
        <f t="shared" si="1"/>
        <v>17852500</v>
      </c>
    </row>
    <row r="18" spans="1:12" ht="12.75">
      <c r="A18" s="166"/>
      <c r="B18" s="91"/>
      <c r="C18" s="166"/>
      <c r="D18" s="166"/>
      <c r="E18" s="166"/>
      <c r="F18" s="166"/>
      <c r="G18" s="166"/>
      <c r="H18" s="166"/>
      <c r="I18" s="166"/>
      <c r="J18" s="166"/>
      <c r="K18" s="166"/>
      <c r="L18" s="166">
        <f>SUM(F17:K17)</f>
        <v>17852500</v>
      </c>
    </row>
    <row r="19" spans="1:12" ht="12.75">
      <c r="A19" s="166"/>
      <c r="B19" s="91" t="s">
        <v>994</v>
      </c>
      <c r="C19" s="166"/>
      <c r="D19" s="166"/>
      <c r="E19" s="166">
        <v>55000</v>
      </c>
      <c r="F19" s="166"/>
      <c r="G19" s="166"/>
      <c r="H19" s="166"/>
      <c r="I19" s="166"/>
      <c r="J19" s="166"/>
      <c r="K19" s="166"/>
      <c r="L19" s="166"/>
    </row>
    <row r="20" spans="1:12" ht="12.75">
      <c r="A20" s="166"/>
      <c r="B20" s="148" t="s">
        <v>1200</v>
      </c>
      <c r="C20" s="166"/>
      <c r="D20" s="166"/>
      <c r="E20" s="166">
        <v>75000</v>
      </c>
      <c r="F20" s="166"/>
      <c r="G20" s="166"/>
      <c r="H20" s="166"/>
      <c r="I20" s="166"/>
      <c r="J20" s="166"/>
      <c r="K20" s="166"/>
      <c r="L20" s="166"/>
    </row>
    <row r="21" ht="38.25">
      <c r="B21" s="148" t="s">
        <v>951</v>
      </c>
    </row>
    <row r="22" spans="2:12" ht="12.75">
      <c r="B22" s="150" t="s">
        <v>952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</row>
    <row r="23" spans="2:12" ht="12.75">
      <c r="B23" s="150" t="s">
        <v>954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</row>
    <row r="24" spans="2:12" ht="12.75">
      <c r="B24" s="150" t="s">
        <v>955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</row>
    <row r="25" spans="2:12" ht="12.75">
      <c r="B25" s="150" t="s">
        <v>956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</row>
    <row r="26" spans="2:12" ht="12.75">
      <c r="B26" s="150" t="s">
        <v>957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</row>
    <row r="27" ht="12.75">
      <c r="B27" s="151" t="s">
        <v>958</v>
      </c>
    </row>
    <row r="28" ht="12.75">
      <c r="B28" s="151" t="s">
        <v>959</v>
      </c>
    </row>
    <row r="29" ht="12.75">
      <c r="B29" s="149" t="s">
        <v>960</v>
      </c>
    </row>
    <row r="30" ht="12.75">
      <c r="E30" s="26">
        <f>SUM(E3:E29)</f>
        <v>1040000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="130" zoomScaleNormal="130" zoomScalePageLayoutView="0" workbookViewId="0" topLeftCell="B11">
      <selection activeCell="M23" sqref="M23"/>
    </sheetView>
  </sheetViews>
  <sheetFormatPr defaultColWidth="9.140625" defaultRowHeight="12.75"/>
  <cols>
    <col min="1" max="1" width="22.7109375" style="0" customWidth="1"/>
    <col min="2" max="2" width="3.28125" style="0" customWidth="1"/>
    <col min="3" max="3" width="11.7109375" style="0" customWidth="1"/>
    <col min="4" max="4" width="2.57421875" style="0" customWidth="1"/>
    <col min="5" max="5" width="10.421875" style="0" customWidth="1"/>
    <col min="6" max="6" width="1.1484375" style="0" customWidth="1"/>
    <col min="7" max="7" width="9.7109375" style="0" customWidth="1"/>
    <col min="8" max="8" width="1.28515625" style="0" customWidth="1"/>
    <col min="9" max="9" width="13.57421875" style="0" customWidth="1"/>
    <col min="10" max="10" width="1.7109375" style="0" customWidth="1"/>
    <col min="11" max="11" width="12.28125" style="0" customWidth="1"/>
    <col min="12" max="12" width="1.28515625" style="0" customWidth="1"/>
    <col min="13" max="13" width="26.421875" style="0" customWidth="1"/>
  </cols>
  <sheetData>
    <row r="1" spans="1:12" ht="18">
      <c r="A1" s="5"/>
      <c r="B1" s="5"/>
      <c r="C1" s="6" t="s">
        <v>804</v>
      </c>
      <c r="D1" s="7"/>
      <c r="E1" s="7"/>
      <c r="F1" s="7"/>
      <c r="G1" s="7"/>
      <c r="H1" s="7"/>
      <c r="I1" s="8">
        <f ca="1">TODAY()</f>
        <v>39619</v>
      </c>
      <c r="J1" s="7"/>
      <c r="K1" s="7"/>
      <c r="L1" s="9"/>
    </row>
    <row r="2" spans="1:12" ht="15.75">
      <c r="A2" s="5"/>
      <c r="B2" s="5"/>
      <c r="C2" s="192" t="s">
        <v>819</v>
      </c>
      <c r="D2" s="7"/>
      <c r="E2" s="7"/>
      <c r="F2" s="7"/>
      <c r="G2" s="7"/>
      <c r="H2" s="7"/>
      <c r="I2" s="7"/>
      <c r="J2" s="7"/>
      <c r="K2" s="7"/>
      <c r="L2" s="9"/>
    </row>
    <row r="3" spans="1:12" ht="15.75">
      <c r="A3" s="5"/>
      <c r="B3" s="5"/>
      <c r="C3" s="192"/>
      <c r="D3" s="7"/>
      <c r="E3" s="7"/>
      <c r="F3" s="7"/>
      <c r="G3" s="7"/>
      <c r="H3" s="7"/>
      <c r="I3" s="7"/>
      <c r="J3" s="7"/>
      <c r="K3" s="7"/>
      <c r="L3" s="9"/>
    </row>
    <row r="4" spans="1:12" ht="15.75">
      <c r="A4" s="193" t="s">
        <v>1043</v>
      </c>
      <c r="B4" s="194"/>
      <c r="C4" s="195"/>
      <c r="D4" s="196">
        <f>'Work Sheet'!C5</f>
        <v>7</v>
      </c>
      <c r="E4" s="7"/>
      <c r="F4" s="7"/>
      <c r="G4" s="7"/>
      <c r="H4" s="7"/>
      <c r="I4" s="7"/>
      <c r="J4" s="7"/>
      <c r="K4" s="7"/>
      <c r="L4" s="9"/>
    </row>
    <row r="5" spans="4:12" ht="15.75">
      <c r="D5" s="10"/>
      <c r="E5" s="11"/>
      <c r="F5" s="10"/>
      <c r="G5" s="10"/>
      <c r="H5" s="10"/>
      <c r="I5" s="12"/>
      <c r="J5" s="13"/>
      <c r="K5" s="13"/>
      <c r="L5" s="14"/>
    </row>
    <row r="6" spans="1:13" ht="25.5">
      <c r="A6" s="16" t="s">
        <v>805</v>
      </c>
      <c r="B6" s="16"/>
      <c r="C6" s="17" t="s">
        <v>806</v>
      </c>
      <c r="D6" s="17"/>
      <c r="E6" s="17" t="s">
        <v>807</v>
      </c>
      <c r="F6" s="17"/>
      <c r="G6" s="17" t="s">
        <v>808</v>
      </c>
      <c r="H6" s="17"/>
      <c r="I6" s="17" t="s">
        <v>802</v>
      </c>
      <c r="J6" s="17"/>
      <c r="K6" s="17" t="s">
        <v>809</v>
      </c>
      <c r="L6" s="18"/>
      <c r="M6" s="114" t="s">
        <v>1018</v>
      </c>
    </row>
    <row r="7" spans="1:11" s="2" customFormat="1" ht="12.75">
      <c r="A7" s="2" t="str">
        <f>'Budget Detail'!A734</f>
        <v>FIRE-Santa Fe Co.</v>
      </c>
      <c r="C7" s="181">
        <f>'Budget Detail'!B734</f>
        <v>197425.2851423866</v>
      </c>
      <c r="D7" s="181"/>
      <c r="E7" s="181"/>
      <c r="F7" s="181"/>
      <c r="G7" s="181">
        <f>I7-E7</f>
        <v>197425.2851423866</v>
      </c>
      <c r="H7" s="181"/>
      <c r="I7" s="181">
        <f>'Budget Detail'!I734</f>
        <v>197425.2851423866</v>
      </c>
      <c r="J7" s="202"/>
      <c r="K7" s="184">
        <f aca="true" t="shared" si="0" ref="K7:K20">I7/$I$21</f>
        <v>0.07870429130539502</v>
      </c>
    </row>
    <row r="8" spans="1:13" s="2" customFormat="1" ht="12.75">
      <c r="A8" s="2" t="str">
        <f>'Budget Detail'!A739</f>
        <v>FINANCE &amp; ADMIN</v>
      </c>
      <c r="C8" s="181">
        <f>'Budget Detail'!B739</f>
        <v>1512998.5155020924</v>
      </c>
      <c r="D8" s="181"/>
      <c r="E8" s="181">
        <f>'Budget Detail'!C739</f>
        <v>138071.49960972427</v>
      </c>
      <c r="F8" s="181"/>
      <c r="G8" s="181">
        <f>I8-E8</f>
        <v>270081</v>
      </c>
      <c r="H8" s="181"/>
      <c r="I8" s="181">
        <f>'Budget Detail'!I739</f>
        <v>408152.49960972427</v>
      </c>
      <c r="J8" s="202"/>
      <c r="K8" s="184">
        <f t="shared" si="0"/>
        <v>0.16271144399331086</v>
      </c>
      <c r="M8" s="2" t="s">
        <v>1008</v>
      </c>
    </row>
    <row r="9" spans="1:13" s="2" customFormat="1" ht="12.75">
      <c r="A9" s="2" t="str">
        <f>'Budget Detail'!A741</f>
        <v>LEGISLATIVE</v>
      </c>
      <c r="C9" s="181"/>
      <c r="D9" s="181"/>
      <c r="E9" s="181">
        <f>'Budget Detail'!C741</f>
        <v>12918</v>
      </c>
      <c r="F9" s="181"/>
      <c r="G9" s="181">
        <f>I9-E9</f>
        <v>25215</v>
      </c>
      <c r="H9" s="181"/>
      <c r="I9" s="181">
        <f>'Budget Detail'!I741</f>
        <v>38133</v>
      </c>
      <c r="J9" s="202"/>
      <c r="K9" s="184">
        <f t="shared" si="0"/>
        <v>0.015201855923288082</v>
      </c>
      <c r="M9" s="2" t="s">
        <v>1009</v>
      </c>
    </row>
    <row r="10" spans="1:13" s="2" customFormat="1" ht="12.75">
      <c r="A10" s="2" t="str">
        <f>'Budget Detail'!A742</f>
        <v>JUDICIAL</v>
      </c>
      <c r="C10" s="181">
        <f>'Budget Detail'!B742</f>
        <v>0</v>
      </c>
      <c r="D10" s="181"/>
      <c r="E10" s="181">
        <f>'Budget Detail'!C742</f>
        <v>22593.213929999998</v>
      </c>
      <c r="F10" s="181"/>
      <c r="G10" s="181">
        <f>I10-E10</f>
        <v>7909</v>
      </c>
      <c r="H10" s="181"/>
      <c r="I10" s="181">
        <f>'Budget Detail'!I742</f>
        <v>30502.213929999998</v>
      </c>
      <c r="J10" s="202"/>
      <c r="K10" s="184">
        <f t="shared" si="0"/>
        <v>0.012159815946953314</v>
      </c>
      <c r="M10" s="2" t="s">
        <v>1010</v>
      </c>
    </row>
    <row r="11" spans="1:13" s="2" customFormat="1" ht="12.75">
      <c r="A11" s="2" t="str">
        <f>'Budget Detail'!A737</f>
        <v>ANIMAL CONTROL</v>
      </c>
      <c r="C11" s="181"/>
      <c r="D11" s="181"/>
      <c r="E11" s="181">
        <f>'Budget Detail'!C737</f>
        <v>101563.70432</v>
      </c>
      <c r="F11" s="181"/>
      <c r="G11" s="181">
        <f>I11-E11</f>
        <v>20550</v>
      </c>
      <c r="H11" s="27"/>
      <c r="I11" s="181">
        <f>'Budget Detail'!I737</f>
        <v>122113.70432</v>
      </c>
      <c r="J11" s="202"/>
      <c r="K11" s="184">
        <f t="shared" si="0"/>
        <v>0.04868106205469387</v>
      </c>
      <c r="M11" s="2" t="s">
        <v>1011</v>
      </c>
    </row>
    <row r="12" spans="1:13" s="2" customFormat="1" ht="12.75">
      <c r="A12" s="2" t="str">
        <f>'Budget Detail'!A735</f>
        <v>PUBLIC SAFETY</v>
      </c>
      <c r="C12" s="181">
        <f>'Budget Detail'!B735</f>
        <v>394850.5702847732</v>
      </c>
      <c r="D12" s="181"/>
      <c r="E12" s="181">
        <f>'Budget Detail'!C735</f>
        <v>651424.3253735979</v>
      </c>
      <c r="F12" s="181"/>
      <c r="G12" s="181">
        <f>'Budget Detail'!E452</f>
        <v>247414.51</v>
      </c>
      <c r="H12" s="181"/>
      <c r="I12" s="181">
        <f>G12+E12</f>
        <v>898838.8353735979</v>
      </c>
      <c r="J12" s="202"/>
      <c r="K12" s="184">
        <f t="shared" si="0"/>
        <v>0.35832529498349175</v>
      </c>
      <c r="M12" s="2" t="s">
        <v>1012</v>
      </c>
    </row>
    <row r="13" spans="1:11" s="2" customFormat="1" ht="12.75">
      <c r="A13" s="2" t="str">
        <f>'Budget Detail'!A736</f>
        <v>LAW ENFORCEMENT-Equip.</v>
      </c>
      <c r="C13" s="181">
        <f>'Budget Detail'!B736</f>
        <v>20000</v>
      </c>
      <c r="D13" s="181"/>
      <c r="E13" s="181"/>
      <c r="F13" s="181"/>
      <c r="G13" s="181">
        <f aca="true" t="shared" si="1" ref="G13:G18">I13-E13</f>
        <v>20000</v>
      </c>
      <c r="H13" s="181"/>
      <c r="I13" s="181">
        <f>'Budget Detail'!I736</f>
        <v>20000</v>
      </c>
      <c r="J13" s="202"/>
      <c r="K13" s="184">
        <f t="shared" si="0"/>
        <v>0.007973071053044912</v>
      </c>
    </row>
    <row r="14" spans="1:13" s="2" customFormat="1" ht="12.75">
      <c r="A14" s="2" t="str">
        <f>'Budget Detail'!A744</f>
        <v>RECREATION</v>
      </c>
      <c r="C14" s="667">
        <f>'Budget Detail'!B744</f>
        <v>68288</v>
      </c>
      <c r="D14" s="181"/>
      <c r="E14" s="181">
        <f>'Budget Detail'!C744</f>
        <v>85387.49133999998</v>
      </c>
      <c r="F14" s="181"/>
      <c r="G14" s="667">
        <f t="shared" si="1"/>
        <v>41519.70000000001</v>
      </c>
      <c r="H14" s="667"/>
      <c r="I14" s="667">
        <f>'Budget Detail'!I744</f>
        <v>126907.19133999999</v>
      </c>
      <c r="J14" s="202"/>
      <c r="K14" s="184">
        <f t="shared" si="0"/>
        <v>0.0505920026848093</v>
      </c>
      <c r="M14" s="2" t="s">
        <v>1013</v>
      </c>
    </row>
    <row r="15" spans="1:13" s="2" customFormat="1" ht="12.75">
      <c r="A15" s="2" t="str">
        <f>'Budget Detail'!A738</f>
        <v>MUNICIPAL STREETS</v>
      </c>
      <c r="C15" s="181">
        <f>'Budget Detail'!B738</f>
        <v>315147.919070748</v>
      </c>
      <c r="D15" s="181"/>
      <c r="E15" s="181">
        <f>'Budget Detail'!C738</f>
        <v>203909.9218395801</v>
      </c>
      <c r="F15" s="181"/>
      <c r="G15" s="181">
        <f t="shared" si="1"/>
        <v>283636</v>
      </c>
      <c r="H15" s="181"/>
      <c r="I15" s="181">
        <f>'Budget Detail'!I738</f>
        <v>487545.9218395801</v>
      </c>
      <c r="J15" s="202"/>
      <c r="K15" s="184">
        <f t="shared" si="0"/>
        <v>0.19436191382246268</v>
      </c>
      <c r="M15" s="2" t="s">
        <v>1014</v>
      </c>
    </row>
    <row r="16" spans="1:13" s="2" customFormat="1" ht="12.75">
      <c r="A16" s="2" t="str">
        <f>'Budget Detail'!A740</f>
        <v>COMMUNITY DEV</v>
      </c>
      <c r="C16" s="181"/>
      <c r="D16" s="181"/>
      <c r="E16" s="181">
        <f>'Budget Detail'!C740</f>
        <v>104518.06692405565</v>
      </c>
      <c r="F16" s="181"/>
      <c r="G16" s="181">
        <f t="shared" si="1"/>
        <v>41846.999999999985</v>
      </c>
      <c r="H16" s="181"/>
      <c r="I16" s="181">
        <f>'Budget Detail'!I740</f>
        <v>146365.06692405563</v>
      </c>
      <c r="J16" s="202"/>
      <c r="K16" s="184">
        <f t="shared" si="0"/>
        <v>0.058348953913458464</v>
      </c>
      <c r="M16" s="2" t="s">
        <v>1015</v>
      </c>
    </row>
    <row r="17" spans="1:13" s="2" customFormat="1" ht="12.75">
      <c r="A17" s="2" t="str">
        <f>'Budget Detail'!A743</f>
        <v>LIBRARY</v>
      </c>
      <c r="C17" s="181"/>
      <c r="D17" s="181"/>
      <c r="E17" s="181"/>
      <c r="F17" s="181"/>
      <c r="G17" s="181">
        <f t="shared" si="1"/>
        <v>23300</v>
      </c>
      <c r="H17" s="181"/>
      <c r="I17" s="181">
        <f>'Budget Detail'!I743</f>
        <v>23300</v>
      </c>
      <c r="J17" s="202"/>
      <c r="K17" s="184">
        <f t="shared" si="0"/>
        <v>0.009288627776797323</v>
      </c>
      <c r="M17" s="2" t="s">
        <v>1016</v>
      </c>
    </row>
    <row r="18" spans="1:13" s="2" customFormat="1" ht="12.75">
      <c r="A18" s="2" t="str">
        <f>'Budget Detail'!A745</f>
        <v>COMMUNITY CENTER</v>
      </c>
      <c r="C18" s="181"/>
      <c r="D18" s="182"/>
      <c r="E18" s="181"/>
      <c r="F18" s="182"/>
      <c r="G18" s="181">
        <f t="shared" si="1"/>
        <v>9160</v>
      </c>
      <c r="H18" s="182"/>
      <c r="I18" s="181">
        <f>'Budget Detail'!I745</f>
        <v>9160</v>
      </c>
      <c r="J18" s="183"/>
      <c r="K18" s="184">
        <f t="shared" si="0"/>
        <v>0.00365166654229457</v>
      </c>
      <c r="L18" s="185"/>
      <c r="M18" s="2" t="s">
        <v>1017</v>
      </c>
    </row>
    <row r="19" spans="1:12" s="2" customFormat="1" ht="12.75">
      <c r="A19" s="2" t="s">
        <v>1032</v>
      </c>
      <c r="C19" s="181"/>
      <c r="D19" s="182"/>
      <c r="E19" s="181"/>
      <c r="F19" s="182"/>
      <c r="G19" s="181"/>
      <c r="H19" s="182"/>
      <c r="I19" s="181">
        <v>0</v>
      </c>
      <c r="J19" s="183"/>
      <c r="K19" s="184">
        <f>I19/I21</f>
        <v>0</v>
      </c>
      <c r="L19" s="185"/>
    </row>
    <row r="20" spans="1:13" s="2" customFormat="1" ht="13.5" thickBot="1">
      <c r="A20" s="212" t="s">
        <v>818</v>
      </c>
      <c r="B20" s="212"/>
      <c r="C20" s="626"/>
      <c r="D20" s="626"/>
      <c r="E20" s="626"/>
      <c r="F20" s="626"/>
      <c r="G20" s="572">
        <v>0</v>
      </c>
      <c r="H20" s="626"/>
      <c r="I20" s="626">
        <f>G20</f>
        <v>0</v>
      </c>
      <c r="J20" s="213"/>
      <c r="K20" s="214">
        <f t="shared" si="0"/>
        <v>0</v>
      </c>
      <c r="L20" s="215"/>
      <c r="M20" s="101"/>
    </row>
    <row r="21" spans="1:13" s="2" customFormat="1" ht="12.75">
      <c r="A21" s="216" t="s">
        <v>810</v>
      </c>
      <c r="B21" s="216"/>
      <c r="C21" s="217">
        <f>SUM(C7:C20)</f>
        <v>2508710.2900000005</v>
      </c>
      <c r="D21" s="218"/>
      <c r="E21" s="217">
        <f>SUM(E7:E20)</f>
        <v>1320386.2233369579</v>
      </c>
      <c r="F21" s="218">
        <f>SUM(F7:F20)</f>
        <v>0</v>
      </c>
      <c r="G21" s="218">
        <f>SUM(G7:G20)</f>
        <v>1188057.4951423865</v>
      </c>
      <c r="H21" s="218">
        <f>SUM(H7:H20)</f>
        <v>0</v>
      </c>
      <c r="I21" s="218">
        <f>SUM(I7:I20)</f>
        <v>2508443.718479344</v>
      </c>
      <c r="J21" s="219"/>
      <c r="K21" s="220">
        <f>SUM(K7:K20)</f>
        <v>1.0000000000000002</v>
      </c>
      <c r="L21" s="216"/>
      <c r="M21" s="215"/>
    </row>
    <row r="22" spans="1:12" ht="13.5" thickBot="1">
      <c r="A22" s="90" t="s">
        <v>911</v>
      </c>
      <c r="B22" s="90"/>
      <c r="C22" s="171">
        <f>E50</f>
        <v>2167199.96</v>
      </c>
      <c r="D22" s="20"/>
      <c r="E22" s="607" t="s">
        <v>1019</v>
      </c>
      <c r="F22" s="20"/>
      <c r="L22" s="25"/>
    </row>
    <row r="23" spans="1:12" ht="13.5" thickBot="1">
      <c r="A23" s="90" t="s">
        <v>912</v>
      </c>
      <c r="B23" s="90"/>
      <c r="C23" s="172">
        <f>C21-C22</f>
        <v>341510.33000000054</v>
      </c>
      <c r="D23" s="20"/>
      <c r="E23" s="680">
        <f>Payroll!I30</f>
        <v>1320386.2233369579</v>
      </c>
      <c r="F23" s="681"/>
      <c r="G23" s="682">
        <f>'Budget Detail'!E731</f>
        <v>1188057.4951423865</v>
      </c>
      <c r="H23" s="333"/>
      <c r="I23" s="682">
        <f>G23+E21</f>
        <v>2508443.7184793446</v>
      </c>
      <c r="J23" s="683"/>
      <c r="K23" s="684" t="s">
        <v>1340</v>
      </c>
      <c r="L23" s="25"/>
    </row>
    <row r="24" spans="1:12" s="15" customFormat="1" ht="19.5" customHeight="1" thickBot="1">
      <c r="A24" s="198"/>
      <c r="B24" s="198"/>
      <c r="C24" s="170" t="s">
        <v>1020</v>
      </c>
      <c r="D24" s="88"/>
      <c r="E24" s="88"/>
      <c r="F24" s="88"/>
      <c r="G24" s="199"/>
      <c r="H24" s="88"/>
      <c r="I24" s="675" t="s">
        <v>811</v>
      </c>
      <c r="J24" s="676"/>
      <c r="K24" s="670">
        <f>C21-I21</f>
        <v>266.5715206563473</v>
      </c>
      <c r="L24" s="197"/>
    </row>
    <row r="25" spans="1:12" s="15" customFormat="1" ht="15.75" customHeight="1">
      <c r="A25" s="176"/>
      <c r="B25" s="176"/>
      <c r="C25" s="75"/>
      <c r="D25" s="75"/>
      <c r="E25" s="75"/>
      <c r="F25" s="75"/>
      <c r="G25" s="573"/>
      <c r="H25" s="75"/>
      <c r="I25" s="677" t="s">
        <v>1450</v>
      </c>
      <c r="J25" s="678"/>
      <c r="K25" s="678">
        <v>2668.5715206563473</v>
      </c>
      <c r="L25" s="197"/>
    </row>
    <row r="26" spans="1:12" ht="18">
      <c r="A26" s="176"/>
      <c r="B26" s="176"/>
      <c r="C26" s="177"/>
      <c r="D26" s="178"/>
      <c r="E26" s="178"/>
      <c r="F26" s="20"/>
      <c r="G26" s="89"/>
      <c r="H26" s="79"/>
      <c r="I26" s="679" t="s">
        <v>1451</v>
      </c>
      <c r="J26" s="174"/>
      <c r="K26" s="175"/>
      <c r="L26" s="25"/>
    </row>
    <row r="27" spans="1:12" ht="18.75" thickBot="1">
      <c r="A27" s="176"/>
      <c r="B27" s="176"/>
      <c r="C27" s="79"/>
      <c r="D27" s="20"/>
      <c r="E27" s="20"/>
      <c r="F27" s="20"/>
      <c r="G27" s="89"/>
      <c r="H27" s="79"/>
      <c r="I27" s="173"/>
      <c r="J27" s="174"/>
      <c r="K27" s="175"/>
      <c r="L27" s="25"/>
    </row>
    <row r="28" spans="1:12" ht="16.5" thickBot="1">
      <c r="A28" s="24"/>
      <c r="B28" s="24"/>
      <c r="C28" s="62" t="s">
        <v>904</v>
      </c>
      <c r="D28" s="64"/>
      <c r="E28" s="65"/>
      <c r="F28" s="20"/>
      <c r="G28" s="20"/>
      <c r="H28" s="20"/>
      <c r="I28" s="23"/>
      <c r="J28" s="21"/>
      <c r="K28" s="22"/>
      <c r="L28" s="25"/>
    </row>
    <row r="29" spans="1:12" ht="12.75">
      <c r="A29" s="24"/>
      <c r="B29" s="24"/>
      <c r="C29" s="63">
        <v>39795</v>
      </c>
      <c r="D29" s="64"/>
      <c r="E29" s="69" t="s">
        <v>910</v>
      </c>
      <c r="F29" s="20"/>
      <c r="G29" s="20"/>
      <c r="H29" s="20"/>
      <c r="L29" s="25"/>
    </row>
    <row r="30" spans="1:12" ht="12.75">
      <c r="A30" s="24"/>
      <c r="B30" s="24"/>
      <c r="C30" s="46" t="s">
        <v>908</v>
      </c>
      <c r="D30" s="15"/>
      <c r="E30" s="66">
        <v>20599.99666666667</v>
      </c>
      <c r="F30" s="20"/>
      <c r="G30" s="20"/>
      <c r="H30" s="20"/>
      <c r="L30" s="25"/>
    </row>
    <row r="31" spans="1:12" ht="12.75">
      <c r="A31" s="24"/>
      <c r="B31" s="24"/>
      <c r="C31" s="46" t="s">
        <v>909</v>
      </c>
      <c r="D31" s="15"/>
      <c r="E31" s="66">
        <v>65000</v>
      </c>
      <c r="F31" s="20"/>
      <c r="G31" s="20"/>
      <c r="H31" s="20"/>
      <c r="L31" s="25"/>
    </row>
    <row r="32" spans="1:12" ht="13.5" thickBot="1">
      <c r="A32" s="24"/>
      <c r="B32" s="24"/>
      <c r="C32" s="46" t="s">
        <v>817</v>
      </c>
      <c r="D32" s="15"/>
      <c r="E32" s="68">
        <v>95000</v>
      </c>
      <c r="F32" s="20"/>
      <c r="G32" s="20"/>
      <c r="H32" s="20"/>
      <c r="L32" s="25"/>
    </row>
    <row r="33" spans="1:12" ht="12.75">
      <c r="A33" s="24"/>
      <c r="B33" s="24"/>
      <c r="C33" s="46" t="s">
        <v>795</v>
      </c>
      <c r="D33" s="15"/>
      <c r="E33" s="66">
        <v>180599.99666666667</v>
      </c>
      <c r="F33" s="20"/>
      <c r="G33" s="20"/>
      <c r="H33" s="20"/>
      <c r="I33" s="71" t="s">
        <v>815</v>
      </c>
      <c r="J33" s="64"/>
      <c r="K33" s="72">
        <f>'[1]Data'!$O$10</f>
        <v>195377.91907074797</v>
      </c>
      <c r="L33" s="25"/>
    </row>
    <row r="34" spans="1:12" ht="13.5" thickBot="1">
      <c r="A34" s="24"/>
      <c r="B34" s="24"/>
      <c r="C34" s="48"/>
      <c r="D34" s="38"/>
      <c r="E34" s="67"/>
      <c r="F34" s="20"/>
      <c r="G34" s="20"/>
      <c r="H34" s="20"/>
      <c r="I34" s="46" t="s">
        <v>903</v>
      </c>
      <c r="J34" s="15"/>
      <c r="K34" s="66">
        <f>'[1]Data'!$O$11</f>
        <v>987126.3687923305</v>
      </c>
      <c r="L34" s="25"/>
    </row>
    <row r="35" spans="1:12" ht="12.75">
      <c r="A35" s="24"/>
      <c r="B35" s="24"/>
      <c r="C35" s="46"/>
      <c r="D35" s="15" t="s">
        <v>878</v>
      </c>
      <c r="E35" s="66">
        <v>12</v>
      </c>
      <c r="F35" s="20"/>
      <c r="G35" s="20"/>
      <c r="H35" s="20"/>
      <c r="I35" s="46" t="s">
        <v>827</v>
      </c>
      <c r="J35" s="15"/>
      <c r="K35" s="68">
        <f>'[1]Data'!$O$12</f>
        <v>984695.6721369216</v>
      </c>
      <c r="L35" s="25"/>
    </row>
    <row r="36" spans="1:12" ht="13.5" thickBot="1">
      <c r="A36" s="24"/>
      <c r="B36" s="24"/>
      <c r="C36" s="70" t="s">
        <v>905</v>
      </c>
      <c r="D36" s="15"/>
      <c r="E36" s="92">
        <v>2167200</v>
      </c>
      <c r="F36" s="94"/>
      <c r="G36" s="88"/>
      <c r="H36" s="95"/>
      <c r="I36" s="48"/>
      <c r="J36" s="38"/>
      <c r="K36" s="93">
        <f>SUM(K33:K35)</f>
        <v>2167199.96</v>
      </c>
      <c r="L36" s="25"/>
    </row>
    <row r="37" spans="1:12" ht="12.75">
      <c r="A37" s="24"/>
      <c r="B37" s="24"/>
      <c r="C37" s="46" t="s">
        <v>906</v>
      </c>
      <c r="D37" s="15"/>
      <c r="E37" s="47">
        <v>0.02725</v>
      </c>
      <c r="F37" s="20"/>
      <c r="G37" s="20"/>
      <c r="H37" s="20"/>
      <c r="I37" s="23" t="s">
        <v>1007</v>
      </c>
      <c r="J37" s="21"/>
      <c r="K37" s="169">
        <v>0.02725</v>
      </c>
      <c r="L37" s="25"/>
    </row>
    <row r="38" spans="1:12" ht="13.5" thickBot="1">
      <c r="A38" s="24"/>
      <c r="B38" s="24"/>
      <c r="C38" s="48" t="s">
        <v>907</v>
      </c>
      <c r="D38" s="38"/>
      <c r="E38" s="67">
        <v>79530275.2293578</v>
      </c>
      <c r="F38" s="20"/>
      <c r="G38" s="20"/>
      <c r="H38" s="20"/>
      <c r="I38" s="23" t="s">
        <v>907</v>
      </c>
      <c r="J38" s="21"/>
      <c r="K38" s="20">
        <f>K36/K37</f>
        <v>79530273.76146789</v>
      </c>
      <c r="L38" s="25"/>
    </row>
    <row r="39" spans="1:12" ht="12.75">
      <c r="A39" s="24"/>
      <c r="B39" s="24"/>
      <c r="C39" s="46"/>
      <c r="D39" s="15"/>
      <c r="E39" s="91"/>
      <c r="F39" s="20"/>
      <c r="G39" s="20"/>
      <c r="H39" s="20"/>
      <c r="I39" s="23"/>
      <c r="J39" s="21"/>
      <c r="K39" s="22"/>
      <c r="L39" s="25"/>
    </row>
    <row r="40" spans="1:12" ht="13.5" thickBot="1">
      <c r="A40" s="24"/>
      <c r="B40" s="24"/>
      <c r="C40" s="46"/>
      <c r="D40" s="15"/>
      <c r="E40" s="91"/>
      <c r="F40" s="20"/>
      <c r="G40" s="20"/>
      <c r="H40" s="20"/>
      <c r="I40" s="23"/>
      <c r="J40" s="21"/>
      <c r="K40" s="22"/>
      <c r="L40" s="25"/>
    </row>
    <row r="41" spans="1:12" ht="25.5">
      <c r="A41" s="24"/>
      <c r="B41" s="24"/>
      <c r="C41" s="73"/>
      <c r="D41" s="74"/>
      <c r="E41" s="74"/>
      <c r="F41" s="75"/>
      <c r="G41" s="180" t="s">
        <v>1031</v>
      </c>
      <c r="H41" s="20"/>
      <c r="I41" s="23"/>
      <c r="J41" s="21"/>
      <c r="K41" s="22"/>
      <c r="L41" s="25"/>
    </row>
    <row r="42" spans="1:12" ht="12.75">
      <c r="A42" s="24"/>
      <c r="B42" s="24"/>
      <c r="C42" s="76" t="s">
        <v>814</v>
      </c>
      <c r="D42" s="77"/>
      <c r="E42" s="78">
        <f>'[1]Data'!$Q$13</f>
        <v>197425.2851423866</v>
      </c>
      <c r="F42" s="79"/>
      <c r="G42" s="96">
        <f>E42</f>
        <v>197425.2851423866</v>
      </c>
      <c r="H42" s="20"/>
      <c r="I42" s="23"/>
      <c r="J42" s="21"/>
      <c r="K42" s="22"/>
      <c r="L42" s="25"/>
    </row>
    <row r="43" spans="1:12" ht="12.75">
      <c r="A43" s="24"/>
      <c r="B43" s="24"/>
      <c r="C43" s="76" t="s">
        <v>816</v>
      </c>
      <c r="D43" s="77"/>
      <c r="E43" s="78">
        <f>'[1]Data'!$Q$14</f>
        <v>394850.5702847732</v>
      </c>
      <c r="F43" s="79"/>
      <c r="G43" s="96">
        <f>E43</f>
        <v>394850.5702847732</v>
      </c>
      <c r="H43" s="20"/>
      <c r="I43" s="23"/>
      <c r="J43" s="21"/>
      <c r="K43" s="22"/>
      <c r="L43" s="25"/>
    </row>
    <row r="44" spans="1:12" ht="12.75">
      <c r="A44" s="24"/>
      <c r="B44" s="24"/>
      <c r="C44" s="76" t="s">
        <v>815</v>
      </c>
      <c r="D44" s="77"/>
      <c r="E44" s="78">
        <f>K33</f>
        <v>195377.91907074797</v>
      </c>
      <c r="F44" s="79"/>
      <c r="G44" s="97"/>
      <c r="H44" s="20"/>
      <c r="J44" s="21"/>
      <c r="K44" s="22"/>
      <c r="L44" s="25"/>
    </row>
    <row r="45" spans="1:12" ht="12.75">
      <c r="A45" s="24"/>
      <c r="B45" s="24"/>
      <c r="D45" s="80" t="s">
        <v>824</v>
      </c>
      <c r="E45" s="15"/>
      <c r="F45" s="79"/>
      <c r="G45" s="96">
        <f>G20</f>
        <v>0</v>
      </c>
      <c r="H45" s="20"/>
      <c r="I45" s="23"/>
      <c r="J45" s="21"/>
      <c r="K45" s="22"/>
      <c r="L45" s="25"/>
    </row>
    <row r="46" spans="1:12" ht="12.75">
      <c r="A46" s="24"/>
      <c r="B46" s="24"/>
      <c r="D46" s="81" t="s">
        <v>826</v>
      </c>
      <c r="E46" s="15"/>
      <c r="F46" s="79"/>
      <c r="G46" s="98">
        <f>E44-G45</f>
        <v>195377.91907074797</v>
      </c>
      <c r="H46" s="20"/>
      <c r="I46" s="23"/>
      <c r="J46" s="21"/>
      <c r="K46" s="22"/>
      <c r="L46" s="25"/>
    </row>
    <row r="47" spans="1:12" ht="12.75">
      <c r="A47" s="24"/>
      <c r="B47" s="24"/>
      <c r="C47" s="76" t="s">
        <v>817</v>
      </c>
      <c r="D47" s="77"/>
      <c r="E47" s="82">
        <f>G48+G49</f>
        <v>1379546.1855020924</v>
      </c>
      <c r="F47" s="79"/>
      <c r="G47" s="96"/>
      <c r="H47" s="20"/>
      <c r="I47" s="23"/>
      <c r="J47" s="21"/>
      <c r="K47" s="22"/>
      <c r="L47" s="25"/>
    </row>
    <row r="48" spans="1:12" ht="12.75">
      <c r="A48" s="24"/>
      <c r="B48" s="24"/>
      <c r="D48" s="83" t="s">
        <v>827</v>
      </c>
      <c r="E48" s="15"/>
      <c r="F48" s="84"/>
      <c r="G48" s="96">
        <f>K35</f>
        <v>984695.6721369216</v>
      </c>
      <c r="H48" s="20"/>
      <c r="I48" s="23"/>
      <c r="J48" s="21"/>
      <c r="K48" s="22"/>
      <c r="L48" s="25"/>
    </row>
    <row r="49" spans="1:12" ht="12.75">
      <c r="A49" s="24"/>
      <c r="B49" s="24"/>
      <c r="D49" s="83" t="s">
        <v>828</v>
      </c>
      <c r="E49" s="15"/>
      <c r="F49" s="84"/>
      <c r="G49" s="99">
        <f>'[1]Data'!$Q$15</f>
        <v>394850.51336517074</v>
      </c>
      <c r="H49" s="20"/>
      <c r="I49" s="23"/>
      <c r="J49" s="21"/>
      <c r="K49" s="22"/>
      <c r="L49" s="25"/>
    </row>
    <row r="50" spans="1:12" ht="13.5" thickBot="1">
      <c r="A50" s="24"/>
      <c r="B50" s="24"/>
      <c r="C50" s="85"/>
      <c r="D50" s="86"/>
      <c r="E50" s="87">
        <f>SUM(E42:E49)</f>
        <v>2167199.96</v>
      </c>
      <c r="F50" s="88"/>
      <c r="G50" s="100">
        <f>SUM(G42:G49)</f>
        <v>2167199.9600000004</v>
      </c>
      <c r="H50" s="20"/>
      <c r="I50" s="23"/>
      <c r="J50" s="21"/>
      <c r="K50" s="22"/>
      <c r="L50" s="25"/>
    </row>
    <row r="51" spans="1:12" ht="12.75">
      <c r="A51" s="24"/>
      <c r="B51" s="24"/>
      <c r="C51" s="20"/>
      <c r="D51" s="20"/>
      <c r="E51" s="20"/>
      <c r="F51" s="20"/>
      <c r="G51" s="20"/>
      <c r="H51" s="20"/>
      <c r="I51" s="23"/>
      <c r="J51" s="21"/>
      <c r="K51" s="22"/>
      <c r="L51" s="25"/>
    </row>
  </sheetData>
  <sheetProtection/>
  <printOptions gridLines="1" headings="1"/>
  <pageMargins left="0.75" right="0.75" top="1" bottom="1" header="0.5" footer="0.5"/>
  <pageSetup horizontalDpi="300" verticalDpi="300" orientation="landscape" r:id="rId1"/>
  <headerFooter alignWithMargins="0">
    <oddFooter>&amp;C&amp;Z&amp;F&amp;R&amp;P</oddFooter>
  </headerFooter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60"/>
  <sheetViews>
    <sheetView zoomScale="130" zoomScaleNormal="130" zoomScaleSheetLayoutView="146" zoomScalePageLayoutView="0" workbookViewId="0" topLeftCell="B1">
      <pane ySplit="660" topLeftCell="A451" activePane="bottomLeft" state="split"/>
      <selection pane="topLeft" activeCell="E1" sqref="E1:H16384"/>
      <selection pane="bottomLeft" activeCell="E514" sqref="E514"/>
    </sheetView>
  </sheetViews>
  <sheetFormatPr defaultColWidth="9.140625" defaultRowHeight="12.75" outlineLevelRow="2"/>
  <cols>
    <col min="1" max="1" width="16.421875" style="2" customWidth="1"/>
    <col min="2" max="2" width="12.00390625" style="2" customWidth="1"/>
    <col min="3" max="3" width="19.7109375" style="2" customWidth="1"/>
    <col min="4" max="4" width="9.28125" style="4" customWidth="1"/>
    <col min="5" max="6" width="10.7109375" style="304" customWidth="1"/>
    <col min="7" max="7" width="10.8515625" style="4" customWidth="1"/>
    <col min="8" max="8" width="7.8515625" style="4" customWidth="1"/>
    <col min="9" max="9" width="10.28125" style="309" customWidth="1"/>
    <col min="10" max="10" width="10.421875" style="2" customWidth="1"/>
    <col min="11" max="11" width="9.140625" style="2" customWidth="1"/>
  </cols>
  <sheetData>
    <row r="1" spans="1:9" s="2" customFormat="1" ht="12.75" customHeight="1">
      <c r="A1" s="1"/>
      <c r="B1" s="1" t="s">
        <v>0</v>
      </c>
      <c r="C1" s="1" t="s">
        <v>1</v>
      </c>
      <c r="D1" s="4" t="s">
        <v>2</v>
      </c>
      <c r="E1" s="304" t="s">
        <v>1210</v>
      </c>
      <c r="F1" s="304" t="s">
        <v>1209</v>
      </c>
      <c r="G1" s="4" t="s">
        <v>1150</v>
      </c>
      <c r="H1" s="4" t="s">
        <v>4</v>
      </c>
      <c r="I1" s="330">
        <v>0.05</v>
      </c>
    </row>
    <row r="2" spans="1:3" ht="12.75" customHeight="1">
      <c r="A2" s="1" t="s">
        <v>781</v>
      </c>
      <c r="B2" s="1" t="s">
        <v>781</v>
      </c>
      <c r="C2" s="1"/>
    </row>
    <row r="3" spans="2:8" ht="12" customHeight="1" outlineLevel="2">
      <c r="B3" s="3" t="s">
        <v>5</v>
      </c>
      <c r="C3" s="3" t="s">
        <v>6</v>
      </c>
      <c r="D3" s="4">
        <v>0</v>
      </c>
      <c r="E3" s="304">
        <v>0</v>
      </c>
      <c r="F3" s="304">
        <v>0</v>
      </c>
      <c r="G3" s="4">
        <v>0</v>
      </c>
      <c r="H3" s="4">
        <v>0</v>
      </c>
    </row>
    <row r="4" spans="2:12" ht="12" customHeight="1" outlineLevel="2">
      <c r="B4" s="3" t="s">
        <v>7</v>
      </c>
      <c r="C4" s="3" t="s">
        <v>8</v>
      </c>
      <c r="D4" s="4">
        <v>195418.64</v>
      </c>
      <c r="H4" s="4">
        <v>234502.37</v>
      </c>
      <c r="I4" s="309">
        <f aca="true" t="shared" si="0" ref="I4:I10">H4*0.05+H4</f>
        <v>246227.4885</v>
      </c>
      <c r="K4" s="189" t="s">
        <v>829</v>
      </c>
      <c r="L4">
        <v>175666</v>
      </c>
    </row>
    <row r="5" spans="2:11" ht="12" customHeight="1" outlineLevel="2">
      <c r="B5" s="3" t="s">
        <v>9</v>
      </c>
      <c r="C5" s="3" t="s">
        <v>10</v>
      </c>
      <c r="D5" s="4">
        <v>394995.73</v>
      </c>
      <c r="E5" s="304">
        <f>'Budget Sum'!G49</f>
        <v>394850.51336517074</v>
      </c>
      <c r="F5" s="304">
        <v>394850.51336517074</v>
      </c>
      <c r="G5" s="4">
        <v>394850.51336517074</v>
      </c>
      <c r="H5" s="4">
        <v>473994.88</v>
      </c>
      <c r="I5" s="309">
        <f t="shared" si="0"/>
        <v>497694.624</v>
      </c>
      <c r="K5" s="2" t="s">
        <v>830</v>
      </c>
    </row>
    <row r="6" spans="2:9" ht="12" customHeight="1" outlineLevel="2">
      <c r="B6" s="3" t="s">
        <v>11</v>
      </c>
      <c r="C6" s="3" t="s">
        <v>12</v>
      </c>
      <c r="D6" s="4">
        <v>4971.58</v>
      </c>
      <c r="E6" s="304">
        <v>7412</v>
      </c>
      <c r="F6" s="304">
        <v>7412</v>
      </c>
      <c r="G6" s="4">
        <v>7412</v>
      </c>
      <c r="H6" s="4">
        <v>5965.9</v>
      </c>
      <c r="I6" s="309">
        <f t="shared" si="0"/>
        <v>6264.195</v>
      </c>
    </row>
    <row r="7" spans="2:11" ht="12" customHeight="1" outlineLevel="2">
      <c r="B7" s="3" t="s">
        <v>13</v>
      </c>
      <c r="C7" s="3" t="s">
        <v>14</v>
      </c>
      <c r="D7" s="4">
        <v>984824.16</v>
      </c>
      <c r="E7" s="304">
        <f>'Budget Sum'!G48</f>
        <v>984695.6721369216</v>
      </c>
      <c r="F7" s="304">
        <v>984695.6721369216</v>
      </c>
      <c r="G7" s="4">
        <v>984695.6721369216</v>
      </c>
      <c r="H7" s="4">
        <v>1181788.99</v>
      </c>
      <c r="I7" s="309">
        <f t="shared" si="0"/>
        <v>1240878.4395</v>
      </c>
      <c r="K7" s="2" t="s">
        <v>830</v>
      </c>
    </row>
    <row r="8" spans="2:9" ht="12" customHeight="1" outlineLevel="2">
      <c r="B8" s="3" t="s">
        <v>15</v>
      </c>
      <c r="C8" s="3" t="s">
        <v>16</v>
      </c>
      <c r="D8" s="4">
        <v>2355</v>
      </c>
      <c r="E8" s="304">
        <v>966</v>
      </c>
      <c r="F8" s="304">
        <v>966</v>
      </c>
      <c r="G8" s="4">
        <v>966</v>
      </c>
      <c r="H8" s="4">
        <v>2826</v>
      </c>
      <c r="I8" s="309">
        <f t="shared" si="0"/>
        <v>2967.3</v>
      </c>
    </row>
    <row r="9" spans="2:9" ht="12" customHeight="1" outlineLevel="2">
      <c r="B9" s="3" t="s">
        <v>17</v>
      </c>
      <c r="C9" s="3" t="s">
        <v>18</v>
      </c>
      <c r="D9" s="4">
        <v>3250</v>
      </c>
      <c r="E9" s="304">
        <v>5000</v>
      </c>
      <c r="F9" s="304">
        <v>5000</v>
      </c>
      <c r="G9" s="4">
        <v>5000</v>
      </c>
      <c r="H9" s="4">
        <v>3900</v>
      </c>
      <c r="I9" s="309">
        <f t="shared" si="0"/>
        <v>4095</v>
      </c>
    </row>
    <row r="10" spans="2:9" ht="12" customHeight="1" outlineLevel="2">
      <c r="B10" s="3" t="s">
        <v>19</v>
      </c>
      <c r="C10" s="3" t="s">
        <v>20</v>
      </c>
      <c r="D10" s="4">
        <v>8321.06</v>
      </c>
      <c r="E10" s="304">
        <v>9576</v>
      </c>
      <c r="F10" s="304">
        <v>9576</v>
      </c>
      <c r="G10" s="4">
        <v>9576</v>
      </c>
      <c r="H10" s="4">
        <v>9985.27</v>
      </c>
      <c r="I10" s="309">
        <f t="shared" si="0"/>
        <v>10484.533500000001</v>
      </c>
    </row>
    <row r="11" spans="2:8" ht="12" customHeight="1" outlineLevel="2">
      <c r="B11" s="3" t="s">
        <v>21</v>
      </c>
      <c r="C11" s="3" t="s">
        <v>22</v>
      </c>
      <c r="D11" s="4">
        <v>0</v>
      </c>
      <c r="E11" s="304">
        <v>0</v>
      </c>
      <c r="F11" s="304">
        <v>0</v>
      </c>
      <c r="G11" s="4">
        <v>0</v>
      </c>
      <c r="H11" s="4">
        <v>0</v>
      </c>
    </row>
    <row r="12" spans="2:9" ht="12" customHeight="1" outlineLevel="2">
      <c r="B12" s="3" t="s">
        <v>23</v>
      </c>
      <c r="C12" s="3" t="s">
        <v>24</v>
      </c>
      <c r="D12" s="4">
        <v>17830</v>
      </c>
      <c r="E12" s="304">
        <v>9613</v>
      </c>
      <c r="F12" s="304">
        <v>9613</v>
      </c>
      <c r="G12" s="4">
        <v>9613</v>
      </c>
      <c r="H12" s="4">
        <v>21396</v>
      </c>
      <c r="I12" s="309">
        <f>H12*0.05+H12</f>
        <v>22465.8</v>
      </c>
    </row>
    <row r="13" spans="2:9" ht="12" customHeight="1" outlineLevel="2">
      <c r="B13" s="3" t="s">
        <v>25</v>
      </c>
      <c r="C13" s="3" t="s">
        <v>26</v>
      </c>
      <c r="D13" s="4">
        <v>375</v>
      </c>
      <c r="E13" s="304">
        <v>880</v>
      </c>
      <c r="F13" s="304">
        <v>880</v>
      </c>
      <c r="G13" s="4">
        <v>880</v>
      </c>
      <c r="H13" s="4">
        <v>450</v>
      </c>
      <c r="I13" s="309">
        <f>H13*0.05+H13</f>
        <v>472.5</v>
      </c>
    </row>
    <row r="14" spans="2:9" ht="12" customHeight="1" outlineLevel="2">
      <c r="B14" s="3" t="s">
        <v>27</v>
      </c>
      <c r="C14" s="3" t="s">
        <v>28</v>
      </c>
      <c r="D14" s="4">
        <v>3596.08</v>
      </c>
      <c r="E14" s="304">
        <v>5350</v>
      </c>
      <c r="F14" s="304">
        <v>5350</v>
      </c>
      <c r="G14" s="4">
        <v>5350</v>
      </c>
      <c r="H14" s="4">
        <v>4315.3</v>
      </c>
      <c r="I14" s="309">
        <f>H14*0.05+H14</f>
        <v>4531.0650000000005</v>
      </c>
    </row>
    <row r="15" spans="2:8" ht="12" customHeight="1" outlineLevel="2">
      <c r="B15" s="3" t="s">
        <v>29</v>
      </c>
      <c r="C15" s="3" t="s">
        <v>30</v>
      </c>
      <c r="D15" s="4">
        <v>0</v>
      </c>
      <c r="E15" s="304">
        <v>0</v>
      </c>
      <c r="F15" s="304">
        <v>0</v>
      </c>
      <c r="G15" s="4">
        <v>0</v>
      </c>
      <c r="H15" s="4">
        <v>0</v>
      </c>
    </row>
    <row r="16" spans="2:9" ht="12" customHeight="1" outlineLevel="2">
      <c r="B16" s="3" t="s">
        <v>31</v>
      </c>
      <c r="C16" s="3" t="s">
        <v>32</v>
      </c>
      <c r="D16" s="4">
        <v>5729.09</v>
      </c>
      <c r="E16" s="304">
        <v>3060</v>
      </c>
      <c r="F16" s="304">
        <v>3060</v>
      </c>
      <c r="G16" s="4">
        <v>3060</v>
      </c>
      <c r="H16" s="4">
        <v>6874.91</v>
      </c>
      <c r="I16" s="309">
        <f>H16*0.05+H16</f>
        <v>7218.6555</v>
      </c>
    </row>
    <row r="17" spans="2:8" ht="12" customHeight="1" outlineLevel="2">
      <c r="B17" s="3" t="s">
        <v>33</v>
      </c>
      <c r="C17" s="3" t="s">
        <v>34</v>
      </c>
      <c r="D17" s="4">
        <v>0</v>
      </c>
      <c r="E17" s="304">
        <v>0</v>
      </c>
      <c r="F17" s="304">
        <v>0</v>
      </c>
      <c r="G17" s="4">
        <v>0</v>
      </c>
      <c r="H17" s="4">
        <v>0</v>
      </c>
    </row>
    <row r="18" spans="2:8" ht="12" customHeight="1" outlineLevel="2">
      <c r="B18" s="3" t="s">
        <v>35</v>
      </c>
      <c r="C18" s="3" t="s">
        <v>36</v>
      </c>
      <c r="D18" s="4">
        <v>0</v>
      </c>
      <c r="E18" s="304">
        <v>0</v>
      </c>
      <c r="F18" s="304">
        <v>0</v>
      </c>
      <c r="G18" s="4">
        <v>0</v>
      </c>
      <c r="H18" s="4">
        <v>0</v>
      </c>
    </row>
    <row r="19" spans="2:8" ht="12" customHeight="1" outlineLevel="2">
      <c r="B19" s="3" t="s">
        <v>37</v>
      </c>
      <c r="C19" s="3" t="s">
        <v>38</v>
      </c>
      <c r="D19" s="4">
        <v>0</v>
      </c>
      <c r="E19" s="304">
        <v>0</v>
      </c>
      <c r="F19" s="304">
        <v>0</v>
      </c>
      <c r="G19" s="4">
        <v>0</v>
      </c>
      <c r="H19" s="4">
        <v>0</v>
      </c>
    </row>
    <row r="20" spans="2:8" ht="12" customHeight="1" outlineLevel="2">
      <c r="B20" s="3" t="s">
        <v>39</v>
      </c>
      <c r="C20" s="3" t="s">
        <v>40</v>
      </c>
      <c r="D20" s="4">
        <v>0</v>
      </c>
      <c r="E20" s="304">
        <v>0</v>
      </c>
      <c r="F20" s="304">
        <v>0</v>
      </c>
      <c r="G20" s="4">
        <v>0</v>
      </c>
      <c r="H20" s="4">
        <v>0</v>
      </c>
    </row>
    <row r="21" spans="2:9" ht="12" customHeight="1" outlineLevel="2">
      <c r="B21" s="3" t="s">
        <v>41</v>
      </c>
      <c r="C21" s="3" t="s">
        <v>42</v>
      </c>
      <c r="D21" s="4">
        <v>750</v>
      </c>
      <c r="E21" s="304">
        <v>1738</v>
      </c>
      <c r="F21" s="304">
        <v>1738</v>
      </c>
      <c r="G21" s="4">
        <v>1738</v>
      </c>
      <c r="H21" s="4">
        <v>900</v>
      </c>
      <c r="I21" s="309">
        <f>H21*0.05+H21</f>
        <v>945</v>
      </c>
    </row>
    <row r="22" spans="2:8" ht="12" customHeight="1" outlineLevel="2">
      <c r="B22" s="3" t="s">
        <v>43</v>
      </c>
      <c r="C22" s="3" t="s">
        <v>44</v>
      </c>
      <c r="D22" s="4">
        <v>0</v>
      </c>
      <c r="E22" s="304">
        <v>0</v>
      </c>
      <c r="F22" s="304">
        <v>0</v>
      </c>
      <c r="G22" s="4">
        <v>0</v>
      </c>
      <c r="H22" s="4">
        <v>0</v>
      </c>
    </row>
    <row r="23" spans="2:8" ht="12" customHeight="1" outlineLevel="2">
      <c r="B23" s="3" t="s">
        <v>45</v>
      </c>
      <c r="C23" s="3" t="s">
        <v>46</v>
      </c>
      <c r="D23" s="4">
        <v>0</v>
      </c>
      <c r="E23" s="304">
        <v>0</v>
      </c>
      <c r="F23" s="304">
        <v>0</v>
      </c>
      <c r="G23" s="4">
        <v>0</v>
      </c>
      <c r="H23" s="4">
        <v>0</v>
      </c>
    </row>
    <row r="24" spans="2:8" ht="12" customHeight="1" outlineLevel="2">
      <c r="B24" s="3" t="s">
        <v>47</v>
      </c>
      <c r="C24" s="3" t="s">
        <v>48</v>
      </c>
      <c r="D24" s="4">
        <v>0</v>
      </c>
      <c r="E24" s="304">
        <v>0</v>
      </c>
      <c r="F24" s="304">
        <v>0</v>
      </c>
      <c r="G24" s="4">
        <v>0</v>
      </c>
      <c r="H24" s="4">
        <v>0</v>
      </c>
    </row>
    <row r="25" spans="2:8" ht="12" customHeight="1" outlineLevel="2">
      <c r="B25" s="3" t="s">
        <v>49</v>
      </c>
      <c r="C25" s="3" t="s">
        <v>50</v>
      </c>
      <c r="D25" s="4">
        <v>0</v>
      </c>
      <c r="E25" s="304">
        <v>0</v>
      </c>
      <c r="F25" s="304">
        <v>0</v>
      </c>
      <c r="G25" s="4">
        <v>0</v>
      </c>
      <c r="H25" s="4">
        <v>0</v>
      </c>
    </row>
    <row r="26" spans="2:12" ht="12" customHeight="1" outlineLevel="2">
      <c r="B26" s="3" t="s">
        <v>51</v>
      </c>
      <c r="C26" s="3" t="s">
        <v>52</v>
      </c>
      <c r="D26" s="4">
        <v>1695</v>
      </c>
      <c r="H26" s="4">
        <v>2034</v>
      </c>
      <c r="I26" s="309">
        <f>H26*0.05+H26</f>
        <v>2135.7</v>
      </c>
      <c r="K26" s="2" t="s">
        <v>831</v>
      </c>
      <c r="L26">
        <v>3971</v>
      </c>
    </row>
    <row r="27" spans="2:9" ht="12" customHeight="1" outlineLevel="2">
      <c r="B27" s="3" t="s">
        <v>53</v>
      </c>
      <c r="C27" s="3" t="s">
        <v>54</v>
      </c>
      <c r="D27" s="4">
        <v>2599</v>
      </c>
      <c r="E27" s="304">
        <v>3000</v>
      </c>
      <c r="F27" s="304">
        <v>3000</v>
      </c>
      <c r="G27" s="4">
        <v>3000</v>
      </c>
      <c r="H27" s="4">
        <v>3118.8</v>
      </c>
      <c r="I27" s="309">
        <f>H27*0.05+H27</f>
        <v>3274.7400000000002</v>
      </c>
    </row>
    <row r="28" spans="2:8" ht="13.5" customHeight="1" outlineLevel="2">
      <c r="B28" s="3" t="s">
        <v>55</v>
      </c>
      <c r="C28" s="3" t="s">
        <v>56</v>
      </c>
      <c r="D28" s="4">
        <v>0</v>
      </c>
      <c r="E28" s="304">
        <v>0</v>
      </c>
      <c r="F28" s="304">
        <v>0</v>
      </c>
      <c r="G28" s="4">
        <v>0</v>
      </c>
      <c r="H28" s="4">
        <v>0</v>
      </c>
    </row>
    <row r="29" spans="2:9" ht="12" customHeight="1" outlineLevel="2">
      <c r="B29" s="3" t="s">
        <v>57</v>
      </c>
      <c r="C29" s="3" t="s">
        <v>58</v>
      </c>
      <c r="D29" s="4">
        <v>1104</v>
      </c>
      <c r="E29" s="304">
        <v>925.33</v>
      </c>
      <c r="F29" s="304">
        <v>925.33</v>
      </c>
      <c r="G29" s="4">
        <v>925.33</v>
      </c>
      <c r="H29" s="4">
        <v>1324.8</v>
      </c>
      <c r="I29" s="309">
        <f>H29*0.05+H29</f>
        <v>1391.04</v>
      </c>
    </row>
    <row r="30" spans="2:8" ht="12" customHeight="1" outlineLevel="2">
      <c r="B30" s="3" t="s">
        <v>59</v>
      </c>
      <c r="C30" s="3" t="s">
        <v>60</v>
      </c>
      <c r="D30" s="4">
        <v>0</v>
      </c>
      <c r="E30" s="304">
        <v>0</v>
      </c>
      <c r="F30" s="304">
        <v>0</v>
      </c>
      <c r="G30" s="4">
        <v>0</v>
      </c>
      <c r="H30" s="4">
        <v>0</v>
      </c>
    </row>
    <row r="31" spans="2:8" ht="12" customHeight="1" outlineLevel="2">
      <c r="B31" s="3" t="s">
        <v>61</v>
      </c>
      <c r="C31" s="3" t="s">
        <v>62</v>
      </c>
      <c r="D31" s="4">
        <v>0</v>
      </c>
      <c r="E31" s="304">
        <v>0</v>
      </c>
      <c r="F31" s="304">
        <v>0</v>
      </c>
      <c r="G31" s="4">
        <v>0</v>
      </c>
      <c r="H31" s="4">
        <v>0</v>
      </c>
    </row>
    <row r="32" spans="2:8" ht="12" customHeight="1" outlineLevel="2">
      <c r="B32" s="3" t="s">
        <v>63</v>
      </c>
      <c r="C32" s="3" t="s">
        <v>64</v>
      </c>
      <c r="D32" s="4">
        <v>0</v>
      </c>
      <c r="E32" s="304">
        <v>0</v>
      </c>
      <c r="F32" s="304">
        <v>0</v>
      </c>
      <c r="G32" s="4">
        <v>0</v>
      </c>
      <c r="H32" s="4">
        <v>0</v>
      </c>
    </row>
    <row r="33" spans="2:8" ht="12" customHeight="1" outlineLevel="2">
      <c r="B33" s="3" t="s">
        <v>65</v>
      </c>
      <c r="C33" s="3" t="s">
        <v>66</v>
      </c>
      <c r="D33" s="4">
        <v>0</v>
      </c>
      <c r="E33" s="304">
        <v>0</v>
      </c>
      <c r="F33" s="304">
        <v>0</v>
      </c>
      <c r="G33" s="4">
        <v>0</v>
      </c>
      <c r="H33" s="4">
        <v>0</v>
      </c>
    </row>
    <row r="34" spans="2:8" ht="12" customHeight="1" outlineLevel="2">
      <c r="B34" s="3" t="s">
        <v>67</v>
      </c>
      <c r="C34" s="3" t="s">
        <v>68</v>
      </c>
      <c r="D34" s="4">
        <v>0</v>
      </c>
      <c r="E34" s="304">
        <v>0</v>
      </c>
      <c r="F34" s="304">
        <v>0</v>
      </c>
      <c r="G34" s="4">
        <v>0</v>
      </c>
      <c r="H34" s="4">
        <v>0</v>
      </c>
    </row>
    <row r="35" spans="1:12" s="241" customFormat="1" ht="12" customHeight="1" outlineLevel="2">
      <c r="A35" s="473"/>
      <c r="B35" s="242" t="s">
        <v>69</v>
      </c>
      <c r="C35" s="242" t="s">
        <v>70</v>
      </c>
      <c r="D35" s="243">
        <v>28413.59</v>
      </c>
      <c r="E35" s="304">
        <f>'Work Sheet'!C45</f>
        <v>24000</v>
      </c>
      <c r="F35" s="304">
        <v>24000</v>
      </c>
      <c r="G35" s="243">
        <v>0</v>
      </c>
      <c r="H35" s="243">
        <v>34096.31</v>
      </c>
      <c r="I35" s="474">
        <f>H35*0.05+H35</f>
        <v>35801.125499999995</v>
      </c>
      <c r="J35" s="473"/>
      <c r="K35" s="473" t="s">
        <v>832</v>
      </c>
      <c r="L35" s="241">
        <v>65131</v>
      </c>
    </row>
    <row r="36" spans="2:8" ht="12" customHeight="1" outlineLevel="2">
      <c r="B36" s="3" t="s">
        <v>71</v>
      </c>
      <c r="C36" s="3" t="s">
        <v>72</v>
      </c>
      <c r="D36" s="4">
        <v>0</v>
      </c>
      <c r="E36" s="304">
        <v>0</v>
      </c>
      <c r="F36" s="304">
        <v>0</v>
      </c>
      <c r="G36" s="4">
        <v>0</v>
      </c>
      <c r="H36" s="4">
        <v>0</v>
      </c>
    </row>
    <row r="37" spans="2:8" ht="12" customHeight="1" outlineLevel="2">
      <c r="B37" s="3" t="s">
        <v>73</v>
      </c>
      <c r="C37" s="3" t="s">
        <v>74</v>
      </c>
      <c r="D37" s="4">
        <v>0</v>
      </c>
      <c r="E37" s="304">
        <v>0</v>
      </c>
      <c r="F37" s="304">
        <v>0</v>
      </c>
      <c r="G37" s="4">
        <v>0</v>
      </c>
      <c r="H37" s="4">
        <v>0</v>
      </c>
    </row>
    <row r="38" spans="2:9" ht="12" customHeight="1" outlineLevel="2">
      <c r="B38" s="3" t="s">
        <v>75</v>
      </c>
      <c r="C38" s="3" t="s">
        <v>76</v>
      </c>
      <c r="D38" s="4">
        <v>32596</v>
      </c>
      <c r="E38" s="304">
        <v>0</v>
      </c>
      <c r="F38" s="304">
        <v>0</v>
      </c>
      <c r="G38" s="4">
        <v>0</v>
      </c>
      <c r="H38" s="4">
        <v>39115.2</v>
      </c>
      <c r="I38" s="309">
        <f>H38*0.05+H38</f>
        <v>41070.96</v>
      </c>
    </row>
    <row r="39" spans="2:8" ht="12" customHeight="1" outlineLevel="2">
      <c r="B39" s="3" t="s">
        <v>77</v>
      </c>
      <c r="C39" s="3" t="s">
        <v>78</v>
      </c>
      <c r="D39" s="4">
        <v>0</v>
      </c>
      <c r="E39" s="304">
        <v>0</v>
      </c>
      <c r="F39" s="304">
        <v>0</v>
      </c>
      <c r="G39" s="4">
        <v>0</v>
      </c>
      <c r="H39" s="4">
        <v>0</v>
      </c>
    </row>
    <row r="40" spans="2:12" ht="12" customHeight="1" outlineLevel="2">
      <c r="B40" s="3" t="s">
        <v>79</v>
      </c>
      <c r="C40" s="3" t="s">
        <v>80</v>
      </c>
      <c r="D40" s="4">
        <v>17167.5</v>
      </c>
      <c r="E40" s="304">
        <v>18000</v>
      </c>
      <c r="F40" s="304">
        <v>18000</v>
      </c>
      <c r="G40" s="4">
        <v>18000</v>
      </c>
      <c r="H40" s="4">
        <v>20601</v>
      </c>
      <c r="I40" s="309">
        <f>H40*0.05+H40</f>
        <v>21631.05</v>
      </c>
      <c r="K40" s="2" t="s">
        <v>834</v>
      </c>
      <c r="L40">
        <v>18000</v>
      </c>
    </row>
    <row r="41" spans="2:12" ht="12" customHeight="1" outlineLevel="2">
      <c r="B41" s="3"/>
      <c r="C41" s="3" t="s">
        <v>80</v>
      </c>
      <c r="E41" s="304">
        <f>L41*12</f>
        <v>8682</v>
      </c>
      <c r="F41" s="304">
        <v>8682</v>
      </c>
      <c r="G41" s="4">
        <v>8682</v>
      </c>
      <c r="K41" s="2" t="s">
        <v>838</v>
      </c>
      <c r="L41">
        <v>723.5</v>
      </c>
    </row>
    <row r="42" spans="2:8" ht="12" customHeight="1" outlineLevel="2">
      <c r="B42" s="3" t="s">
        <v>81</v>
      </c>
      <c r="C42" s="3" t="s">
        <v>82</v>
      </c>
      <c r="D42" s="4">
        <v>7950.8</v>
      </c>
      <c r="E42" s="304">
        <v>0</v>
      </c>
      <c r="F42" s="304">
        <v>0</v>
      </c>
      <c r="G42" s="4">
        <v>0</v>
      </c>
      <c r="H42" s="4">
        <v>9540.96</v>
      </c>
    </row>
    <row r="43" spans="2:12" ht="12" customHeight="1" outlineLevel="2">
      <c r="B43" s="3" t="s">
        <v>83</v>
      </c>
      <c r="C43" s="3" t="s">
        <v>84</v>
      </c>
      <c r="D43" s="4">
        <v>53491.04</v>
      </c>
      <c r="E43" s="304">
        <v>250</v>
      </c>
      <c r="F43" s="60">
        <v>250</v>
      </c>
      <c r="H43" s="4">
        <v>64189.25</v>
      </c>
      <c r="K43" s="2" t="s">
        <v>833</v>
      </c>
      <c r="L43">
        <v>12127</v>
      </c>
    </row>
    <row r="44" spans="2:8" ht="21.75" customHeight="1" outlineLevel="2">
      <c r="B44" s="3" t="s">
        <v>85</v>
      </c>
      <c r="C44" s="3" t="s">
        <v>86</v>
      </c>
      <c r="D44" s="4">
        <v>0</v>
      </c>
      <c r="E44" s="304">
        <v>0</v>
      </c>
      <c r="F44" s="304">
        <v>0</v>
      </c>
      <c r="G44" s="4">
        <v>0</v>
      </c>
      <c r="H44" s="4">
        <v>0</v>
      </c>
    </row>
    <row r="45" spans="2:8" ht="12" customHeight="1" outlineLevel="2">
      <c r="B45" s="3" t="s">
        <v>87</v>
      </c>
      <c r="C45" s="3" t="s">
        <v>88</v>
      </c>
      <c r="D45" s="4">
        <v>0</v>
      </c>
      <c r="E45" s="304">
        <v>0</v>
      </c>
      <c r="F45" s="304">
        <v>0</v>
      </c>
      <c r="G45" s="4">
        <v>0</v>
      </c>
      <c r="H45" s="4">
        <v>0</v>
      </c>
    </row>
    <row r="46" spans="2:8" ht="12" customHeight="1" outlineLevel="2">
      <c r="B46" s="3" t="s">
        <v>89</v>
      </c>
      <c r="C46" s="3" t="s">
        <v>90</v>
      </c>
      <c r="D46" s="4">
        <v>0</v>
      </c>
      <c r="E46" s="304">
        <v>0</v>
      </c>
      <c r="F46" s="304">
        <v>0</v>
      </c>
      <c r="G46" s="4">
        <v>0</v>
      </c>
      <c r="H46" s="4">
        <v>0</v>
      </c>
    </row>
    <row r="47" spans="2:8" ht="12" customHeight="1" outlineLevel="2">
      <c r="B47" s="3" t="s">
        <v>91</v>
      </c>
      <c r="C47" s="3" t="s">
        <v>92</v>
      </c>
      <c r="D47" s="4">
        <v>0</v>
      </c>
      <c r="E47" s="304">
        <v>0</v>
      </c>
      <c r="F47" s="304">
        <v>0</v>
      </c>
      <c r="G47" s="4">
        <v>0</v>
      </c>
      <c r="H47" s="4">
        <v>0</v>
      </c>
    </row>
    <row r="48" spans="2:8" ht="12" customHeight="1" outlineLevel="2">
      <c r="B48" s="3" t="s">
        <v>93</v>
      </c>
      <c r="C48" s="3" t="s">
        <v>94</v>
      </c>
      <c r="D48" s="4">
        <v>0</v>
      </c>
      <c r="E48" s="304">
        <v>0</v>
      </c>
      <c r="F48" s="304">
        <v>0</v>
      </c>
      <c r="G48" s="4">
        <v>0</v>
      </c>
      <c r="H48" s="4">
        <v>0</v>
      </c>
    </row>
    <row r="49" spans="2:8" ht="12" customHeight="1" outlineLevel="2">
      <c r="B49" s="3" t="s">
        <v>95</v>
      </c>
      <c r="C49" s="3" t="s">
        <v>96</v>
      </c>
      <c r="D49" s="4">
        <v>0</v>
      </c>
      <c r="E49" s="304">
        <v>0</v>
      </c>
      <c r="F49" s="304">
        <v>0</v>
      </c>
      <c r="G49" s="4">
        <v>0</v>
      </c>
      <c r="H49" s="4">
        <v>0</v>
      </c>
    </row>
    <row r="50" spans="2:9" ht="12" customHeight="1" outlineLevel="2">
      <c r="B50" s="3" t="s">
        <v>97</v>
      </c>
      <c r="C50" s="3" t="s">
        <v>98</v>
      </c>
      <c r="D50" s="4">
        <v>0</v>
      </c>
      <c r="E50" s="304">
        <v>35000</v>
      </c>
      <c r="F50" s="304">
        <v>35000</v>
      </c>
      <c r="G50" s="4">
        <v>35000</v>
      </c>
      <c r="H50" s="4">
        <v>0</v>
      </c>
      <c r="I50" s="309">
        <v>35000</v>
      </c>
    </row>
    <row r="51" spans="2:8" ht="12" customHeight="1" outlineLevel="2">
      <c r="B51" s="3" t="s">
        <v>99</v>
      </c>
      <c r="C51" s="3" t="s">
        <v>100</v>
      </c>
      <c r="D51" s="4">
        <v>0</v>
      </c>
      <c r="E51" s="304">
        <v>0</v>
      </c>
      <c r="F51" s="304">
        <v>0</v>
      </c>
      <c r="G51" s="4">
        <v>0</v>
      </c>
      <c r="H51" s="4">
        <v>0</v>
      </c>
    </row>
    <row r="52" spans="2:8" ht="12" customHeight="1" outlineLevel="2">
      <c r="B52" s="3" t="s">
        <v>101</v>
      </c>
      <c r="C52" s="3" t="s">
        <v>102</v>
      </c>
      <c r="D52" s="4">
        <v>0</v>
      </c>
      <c r="E52" s="304">
        <v>0</v>
      </c>
      <c r="F52" s="304">
        <v>0</v>
      </c>
      <c r="G52" s="4">
        <v>0</v>
      </c>
      <c r="H52" s="4">
        <v>0</v>
      </c>
    </row>
    <row r="53" spans="2:8" ht="12" customHeight="1" outlineLevel="2">
      <c r="B53" s="3" t="s">
        <v>103</v>
      </c>
      <c r="C53" s="3" t="s">
        <v>104</v>
      </c>
      <c r="D53" s="4">
        <v>0</v>
      </c>
      <c r="E53" s="304">
        <v>0</v>
      </c>
      <c r="F53" s="304">
        <v>0</v>
      </c>
      <c r="G53" s="4">
        <v>0</v>
      </c>
      <c r="H53" s="4">
        <v>0</v>
      </c>
    </row>
    <row r="54" spans="2:8" ht="12" customHeight="1" outlineLevel="2">
      <c r="B54" s="3" t="s">
        <v>105</v>
      </c>
      <c r="C54" s="3" t="s">
        <v>106</v>
      </c>
      <c r="D54" s="4">
        <v>0</v>
      </c>
      <c r="E54" s="304">
        <v>0</v>
      </c>
      <c r="F54" s="304">
        <v>0</v>
      </c>
      <c r="G54" s="4">
        <v>0</v>
      </c>
      <c r="H54" s="4">
        <v>0</v>
      </c>
    </row>
    <row r="55" spans="2:8" ht="12" customHeight="1" outlineLevel="2">
      <c r="B55" s="3" t="s">
        <v>107</v>
      </c>
      <c r="C55" s="3" t="s">
        <v>108</v>
      </c>
      <c r="D55" s="4">
        <v>0</v>
      </c>
      <c r="E55" s="304">
        <v>0</v>
      </c>
      <c r="F55" s="304">
        <v>0</v>
      </c>
      <c r="G55" s="4">
        <v>0</v>
      </c>
      <c r="H55" s="4">
        <v>0</v>
      </c>
    </row>
    <row r="56" spans="2:8" ht="12" customHeight="1" outlineLevel="2">
      <c r="B56" s="3" t="s">
        <v>109</v>
      </c>
      <c r="C56" s="3" t="s">
        <v>110</v>
      </c>
      <c r="D56" s="4">
        <v>0</v>
      </c>
      <c r="E56" s="304">
        <v>0</v>
      </c>
      <c r="F56" s="304">
        <v>0</v>
      </c>
      <c r="G56" s="4">
        <v>0</v>
      </c>
      <c r="H56" s="4">
        <v>0</v>
      </c>
    </row>
    <row r="57" spans="2:8" ht="12" customHeight="1" outlineLevel="2">
      <c r="B57" s="3" t="s">
        <v>111</v>
      </c>
      <c r="C57" s="3" t="s">
        <v>112</v>
      </c>
      <c r="D57" s="4">
        <v>0</v>
      </c>
      <c r="E57" s="304">
        <v>0</v>
      </c>
      <c r="F57" s="304">
        <v>0</v>
      </c>
      <c r="G57" s="4">
        <v>0</v>
      </c>
      <c r="H57" s="4">
        <v>0</v>
      </c>
    </row>
    <row r="58" spans="2:8" ht="21.75" customHeight="1" outlineLevel="2">
      <c r="B58" s="3" t="s">
        <v>113</v>
      </c>
      <c r="C58" s="3" t="s">
        <v>114</v>
      </c>
      <c r="D58" s="4">
        <v>66500</v>
      </c>
      <c r="E58" s="304">
        <v>0</v>
      </c>
      <c r="F58" s="304">
        <v>0</v>
      </c>
      <c r="G58" s="4">
        <v>0</v>
      </c>
      <c r="H58" s="4">
        <v>79800</v>
      </c>
    </row>
    <row r="59" spans="2:8" ht="21.75" customHeight="1" outlineLevel="2">
      <c r="B59" s="3" t="s">
        <v>115</v>
      </c>
      <c r="C59" s="3" t="s">
        <v>116</v>
      </c>
      <c r="D59" s="4">
        <v>0</v>
      </c>
      <c r="E59" s="304">
        <v>0</v>
      </c>
      <c r="F59" s="304">
        <v>0</v>
      </c>
      <c r="G59" s="4">
        <v>0</v>
      </c>
      <c r="H59" s="4">
        <v>0</v>
      </c>
    </row>
    <row r="60" spans="2:8" ht="21.75" customHeight="1" outlineLevel="2">
      <c r="B60" s="3" t="s">
        <v>117</v>
      </c>
      <c r="C60" s="3" t="s">
        <v>118</v>
      </c>
      <c r="D60" s="4">
        <v>0</v>
      </c>
      <c r="E60" s="304">
        <v>0</v>
      </c>
      <c r="F60" s="304">
        <v>0</v>
      </c>
      <c r="G60" s="4">
        <v>0</v>
      </c>
      <c r="H60" s="4">
        <v>0</v>
      </c>
    </row>
    <row r="61" spans="2:8" ht="21.75" customHeight="1" outlineLevel="2">
      <c r="B61" s="3" t="s">
        <v>119</v>
      </c>
      <c r="C61" s="3" t="s">
        <v>120</v>
      </c>
      <c r="D61" s="4">
        <v>0</v>
      </c>
      <c r="E61" s="304">
        <v>0</v>
      </c>
      <c r="F61" s="304">
        <v>0</v>
      </c>
      <c r="G61" s="4">
        <v>0</v>
      </c>
      <c r="H61" s="4">
        <v>0</v>
      </c>
    </row>
    <row r="62" spans="2:8" ht="21.75" customHeight="1" outlineLevel="2">
      <c r="B62" s="3" t="s">
        <v>121</v>
      </c>
      <c r="C62" s="3" t="s">
        <v>122</v>
      </c>
      <c r="D62" s="4">
        <v>0</v>
      </c>
      <c r="E62" s="304">
        <v>0</v>
      </c>
      <c r="F62" s="304">
        <v>0</v>
      </c>
      <c r="G62" s="4">
        <v>0</v>
      </c>
      <c r="H62" s="4">
        <v>0</v>
      </c>
    </row>
    <row r="63" spans="2:8" ht="12" customHeight="1" outlineLevel="2">
      <c r="B63" s="3" t="s">
        <v>123</v>
      </c>
      <c r="C63" s="3" t="s">
        <v>124</v>
      </c>
      <c r="D63" s="4">
        <v>0</v>
      </c>
      <c r="E63" s="304">
        <v>0</v>
      </c>
      <c r="F63" s="304">
        <v>0</v>
      </c>
      <c r="G63" s="4">
        <v>0</v>
      </c>
      <c r="H63" s="4">
        <v>0</v>
      </c>
    </row>
    <row r="64" spans="2:8" ht="12" customHeight="1" outlineLevel="2">
      <c r="B64" s="3" t="s">
        <v>125</v>
      </c>
      <c r="C64" s="3" t="s">
        <v>126</v>
      </c>
      <c r="D64" s="4">
        <v>495</v>
      </c>
      <c r="E64" s="304">
        <v>0</v>
      </c>
      <c r="F64" s="304">
        <v>0</v>
      </c>
      <c r="G64" s="4">
        <v>0</v>
      </c>
      <c r="H64" s="4">
        <v>594</v>
      </c>
    </row>
    <row r="65" spans="2:8" ht="12" customHeight="1" outlineLevel="2">
      <c r="B65" s="3" t="s">
        <v>127</v>
      </c>
      <c r="C65" s="3" t="s">
        <v>128</v>
      </c>
      <c r="D65" s="4">
        <v>0</v>
      </c>
      <c r="E65" s="304">
        <v>0</v>
      </c>
      <c r="F65" s="304">
        <v>0</v>
      </c>
      <c r="G65" s="4">
        <v>0</v>
      </c>
      <c r="H65" s="4">
        <v>0</v>
      </c>
    </row>
    <row r="66" spans="2:8" ht="12" customHeight="1" outlineLevel="2">
      <c r="B66" s="3" t="s">
        <v>129</v>
      </c>
      <c r="C66" s="3" t="s">
        <v>130</v>
      </c>
      <c r="D66" s="4">
        <v>0</v>
      </c>
      <c r="E66" s="304">
        <v>0</v>
      </c>
      <c r="F66" s="304">
        <v>0</v>
      </c>
      <c r="G66" s="4">
        <v>0</v>
      </c>
      <c r="H66" s="4">
        <v>0</v>
      </c>
    </row>
    <row r="67" spans="2:8" ht="12" customHeight="1" outlineLevel="2">
      <c r="B67" s="3" t="s">
        <v>131</v>
      </c>
      <c r="C67" s="3" t="s">
        <v>132</v>
      </c>
      <c r="D67" s="4">
        <v>1444336.01</v>
      </c>
      <c r="E67" s="304">
        <v>0</v>
      </c>
      <c r="F67" s="304">
        <v>0</v>
      </c>
      <c r="G67" s="4">
        <v>0</v>
      </c>
      <c r="H67" s="4">
        <v>1733203.21</v>
      </c>
    </row>
    <row r="68" spans="2:8" ht="12" customHeight="1" outlineLevel="2">
      <c r="B68" s="3" t="s">
        <v>133</v>
      </c>
      <c r="C68" s="3" t="s">
        <v>132</v>
      </c>
      <c r="D68" s="4">
        <v>130</v>
      </c>
      <c r="E68" s="304">
        <v>0</v>
      </c>
      <c r="F68" s="304">
        <v>0</v>
      </c>
      <c r="G68" s="4">
        <v>0</v>
      </c>
      <c r="H68" s="4">
        <v>156</v>
      </c>
    </row>
    <row r="69" spans="2:8" ht="12" customHeight="1" outlineLevel="2">
      <c r="B69" s="3" t="s">
        <v>134</v>
      </c>
      <c r="C69" s="3" t="s">
        <v>132</v>
      </c>
      <c r="D69" s="4">
        <v>9937.95</v>
      </c>
      <c r="E69" s="304">
        <v>0</v>
      </c>
      <c r="F69" s="304">
        <v>0</v>
      </c>
      <c r="G69" s="4">
        <v>0</v>
      </c>
      <c r="H69" s="4">
        <v>11925.54</v>
      </c>
    </row>
    <row r="70" spans="2:8" ht="12" customHeight="1" outlineLevel="2">
      <c r="B70" s="3" t="s">
        <v>135</v>
      </c>
      <c r="C70" s="3" t="s">
        <v>132</v>
      </c>
      <c r="D70" s="4">
        <v>44602.31</v>
      </c>
      <c r="E70" s="304">
        <v>0</v>
      </c>
      <c r="F70" s="304">
        <v>0</v>
      </c>
      <c r="G70" s="4">
        <v>0</v>
      </c>
      <c r="H70" s="4">
        <v>53522.77</v>
      </c>
    </row>
    <row r="71" spans="2:8" ht="12" customHeight="1" outlineLevel="2">
      <c r="B71" s="3" t="s">
        <v>136</v>
      </c>
      <c r="C71" s="3" t="s">
        <v>137</v>
      </c>
      <c r="D71" s="4">
        <v>0</v>
      </c>
      <c r="E71" s="304">
        <v>0</v>
      </c>
      <c r="F71" s="304">
        <v>0</v>
      </c>
      <c r="G71" s="4">
        <v>0</v>
      </c>
      <c r="H71" s="4">
        <v>0</v>
      </c>
    </row>
    <row r="72" spans="2:8" ht="12" customHeight="1" outlineLevel="2">
      <c r="B72" s="3" t="s">
        <v>138</v>
      </c>
      <c r="C72" s="3" t="s">
        <v>132</v>
      </c>
      <c r="D72" s="4">
        <v>80394</v>
      </c>
      <c r="E72" s="304">
        <v>0</v>
      </c>
      <c r="F72" s="304">
        <v>0</v>
      </c>
      <c r="G72" s="4">
        <v>0</v>
      </c>
      <c r="H72" s="4">
        <v>96472.8</v>
      </c>
    </row>
    <row r="73" spans="2:8" ht="12" customHeight="1" outlineLevel="2">
      <c r="B73" s="3" t="s">
        <v>139</v>
      </c>
      <c r="C73" s="3" t="s">
        <v>140</v>
      </c>
      <c r="D73" s="4">
        <v>0</v>
      </c>
      <c r="E73" s="304">
        <v>0</v>
      </c>
      <c r="F73" s="304">
        <v>0</v>
      </c>
      <c r="G73" s="4">
        <v>0</v>
      </c>
      <c r="H73" s="4">
        <v>0</v>
      </c>
    </row>
    <row r="74" spans="2:8" ht="12" customHeight="1" outlineLevel="2">
      <c r="B74" s="3" t="s">
        <v>141</v>
      </c>
      <c r="C74" s="3" t="s">
        <v>70</v>
      </c>
      <c r="D74" s="4">
        <v>0</v>
      </c>
      <c r="E74" s="304">
        <v>0</v>
      </c>
      <c r="F74" s="304">
        <v>0</v>
      </c>
      <c r="G74" s="4">
        <v>0</v>
      </c>
      <c r="H74" s="4">
        <v>0</v>
      </c>
    </row>
    <row r="75" spans="2:8" ht="12" customHeight="1" outlineLevel="2">
      <c r="B75" s="3" t="s">
        <v>142</v>
      </c>
      <c r="C75" s="3" t="s">
        <v>70</v>
      </c>
      <c r="D75" s="4">
        <v>0</v>
      </c>
      <c r="E75" s="304">
        <v>0</v>
      </c>
      <c r="F75" s="304">
        <v>0</v>
      </c>
      <c r="G75" s="4">
        <v>0</v>
      </c>
      <c r="H75" s="4">
        <v>0</v>
      </c>
    </row>
    <row r="76" spans="2:8" ht="12" customHeight="1" outlineLevel="2">
      <c r="B76" s="3" t="s">
        <v>143</v>
      </c>
      <c r="C76" s="3" t="s">
        <v>144</v>
      </c>
      <c r="D76" s="4">
        <v>0</v>
      </c>
      <c r="E76" s="304">
        <v>0</v>
      </c>
      <c r="F76" s="304">
        <v>0</v>
      </c>
      <c r="G76" s="4">
        <v>0</v>
      </c>
      <c r="H76" s="4">
        <v>0</v>
      </c>
    </row>
    <row r="77" spans="2:8" ht="12" customHeight="1" outlineLevel="2">
      <c r="B77" s="3" t="s">
        <v>145</v>
      </c>
      <c r="C77" s="3" t="s">
        <v>70</v>
      </c>
      <c r="D77" s="4">
        <v>0</v>
      </c>
      <c r="E77" s="304">
        <v>0</v>
      </c>
      <c r="F77" s="304">
        <v>0</v>
      </c>
      <c r="G77" s="4">
        <v>0</v>
      </c>
      <c r="H77" s="4">
        <v>0</v>
      </c>
    </row>
    <row r="78" spans="2:8" ht="12" customHeight="1" outlineLevel="2">
      <c r="B78" s="3" t="s">
        <v>146</v>
      </c>
      <c r="C78" s="3" t="s">
        <v>147</v>
      </c>
      <c r="D78" s="4">
        <v>0</v>
      </c>
      <c r="E78" s="304">
        <v>0</v>
      </c>
      <c r="F78" s="304">
        <v>0</v>
      </c>
      <c r="G78" s="4">
        <v>0</v>
      </c>
      <c r="H78" s="4">
        <v>0</v>
      </c>
    </row>
    <row r="79" spans="2:8" ht="12" customHeight="1" outlineLevel="2">
      <c r="B79" s="3" t="s">
        <v>148</v>
      </c>
      <c r="C79" s="3" t="s">
        <v>149</v>
      </c>
      <c r="D79" s="4">
        <v>0</v>
      </c>
      <c r="E79" s="304">
        <v>0</v>
      </c>
      <c r="F79" s="304">
        <v>0</v>
      </c>
      <c r="G79" s="4">
        <v>0</v>
      </c>
      <c r="H79" s="4">
        <v>0</v>
      </c>
    </row>
    <row r="80" spans="2:9" ht="12" customHeight="1" outlineLevel="2">
      <c r="B80" s="3" t="s">
        <v>150</v>
      </c>
      <c r="C80" s="3" t="s">
        <v>12</v>
      </c>
      <c r="D80" s="4">
        <v>378.88</v>
      </c>
      <c r="E80" s="304">
        <v>0</v>
      </c>
      <c r="F80" s="304">
        <v>0</v>
      </c>
      <c r="G80" s="4">
        <v>0</v>
      </c>
      <c r="H80" s="4">
        <v>454.66</v>
      </c>
      <c r="I80" s="309">
        <f>H80*0.05+H80</f>
        <v>477.39300000000003</v>
      </c>
    </row>
    <row r="81" spans="2:8" ht="12" customHeight="1" outlineLevel="2">
      <c r="B81" s="3" t="s">
        <v>151</v>
      </c>
      <c r="C81" s="3" t="s">
        <v>152</v>
      </c>
      <c r="D81" s="4">
        <v>0</v>
      </c>
      <c r="E81" s="304">
        <v>0</v>
      </c>
      <c r="F81" s="304">
        <v>0</v>
      </c>
      <c r="G81" s="4">
        <v>0</v>
      </c>
      <c r="H81" s="4">
        <v>0</v>
      </c>
    </row>
    <row r="82" spans="2:8" ht="12" customHeight="1" outlineLevel="2">
      <c r="B82" s="3" t="s">
        <v>153</v>
      </c>
      <c r="C82" s="3" t="s">
        <v>10</v>
      </c>
      <c r="D82" s="4">
        <v>0</v>
      </c>
      <c r="E82" s="304">
        <v>0</v>
      </c>
      <c r="F82" s="304">
        <v>0</v>
      </c>
      <c r="G82" s="4">
        <v>0</v>
      </c>
      <c r="H82" s="4">
        <v>0</v>
      </c>
    </row>
    <row r="83" spans="2:8" ht="12" customHeight="1" outlineLevel="2">
      <c r="B83" s="3" t="s">
        <v>154</v>
      </c>
      <c r="C83" s="3" t="s">
        <v>155</v>
      </c>
      <c r="D83" s="4">
        <v>0</v>
      </c>
      <c r="E83" s="304">
        <v>0</v>
      </c>
      <c r="F83" s="304">
        <v>0</v>
      </c>
      <c r="G83" s="4">
        <v>0</v>
      </c>
      <c r="H83" s="4">
        <v>0</v>
      </c>
    </row>
    <row r="84" spans="2:8" ht="12" customHeight="1" outlineLevel="2">
      <c r="B84" s="3" t="s">
        <v>156</v>
      </c>
      <c r="C84" s="3" t="s">
        <v>68</v>
      </c>
      <c r="D84" s="4">
        <v>0</v>
      </c>
      <c r="E84" s="304">
        <v>0</v>
      </c>
      <c r="F84" s="304">
        <v>0</v>
      </c>
      <c r="G84" s="4">
        <v>0</v>
      </c>
      <c r="H84" s="4">
        <v>0</v>
      </c>
    </row>
    <row r="85" spans="2:8" ht="12" customHeight="1" outlineLevel="2">
      <c r="B85" s="3" t="s">
        <v>157</v>
      </c>
      <c r="C85" s="3" t="s">
        <v>70</v>
      </c>
      <c r="D85" s="4">
        <v>0</v>
      </c>
      <c r="E85" s="304">
        <v>0</v>
      </c>
      <c r="F85" s="304">
        <v>0</v>
      </c>
      <c r="G85" s="4">
        <v>0</v>
      </c>
      <c r="H85" s="4">
        <v>0</v>
      </c>
    </row>
    <row r="86" spans="2:8" ht="21.75" customHeight="1" outlineLevel="2">
      <c r="B86" s="3" t="s">
        <v>158</v>
      </c>
      <c r="C86" s="3" t="s">
        <v>159</v>
      </c>
      <c r="D86" s="4">
        <v>0</v>
      </c>
      <c r="E86" s="304">
        <v>0</v>
      </c>
      <c r="F86" s="304">
        <v>0</v>
      </c>
      <c r="G86" s="4">
        <v>0</v>
      </c>
      <c r="H86" s="4">
        <v>0</v>
      </c>
    </row>
    <row r="87" spans="2:9" ht="12" customHeight="1" outlineLevel="2">
      <c r="B87" s="3" t="s">
        <v>160</v>
      </c>
      <c r="C87" s="3" t="s">
        <v>161</v>
      </c>
      <c r="D87" s="4">
        <v>0</v>
      </c>
      <c r="E87" s="304">
        <v>0</v>
      </c>
      <c r="F87" s="304">
        <v>0</v>
      </c>
      <c r="G87" s="4">
        <v>0</v>
      </c>
      <c r="H87" s="4">
        <v>0</v>
      </c>
      <c r="I87" s="309">
        <v>95000</v>
      </c>
    </row>
    <row r="88" spans="2:8" ht="12" customHeight="1" outlineLevel="2">
      <c r="B88" s="3" t="s">
        <v>162</v>
      </c>
      <c r="C88" s="3" t="s">
        <v>124</v>
      </c>
      <c r="D88" s="4">
        <v>0</v>
      </c>
      <c r="E88" s="304">
        <v>0</v>
      </c>
      <c r="F88" s="304">
        <v>0</v>
      </c>
      <c r="G88" s="4">
        <v>0</v>
      </c>
      <c r="H88" s="4">
        <v>0</v>
      </c>
    </row>
    <row r="89" spans="2:8" ht="12" customHeight="1" outlineLevel="2">
      <c r="B89" s="3" t="s">
        <v>163</v>
      </c>
      <c r="C89" s="3" t="s">
        <v>164</v>
      </c>
      <c r="D89" s="4">
        <v>0</v>
      </c>
      <c r="E89" s="304">
        <v>0</v>
      </c>
      <c r="F89" s="304">
        <v>0</v>
      </c>
      <c r="G89" s="4">
        <v>0</v>
      </c>
      <c r="H89" s="4">
        <v>0</v>
      </c>
    </row>
    <row r="90" spans="2:8" ht="21.75" customHeight="1" outlineLevel="2">
      <c r="B90" s="3" t="s">
        <v>165</v>
      </c>
      <c r="C90" s="3" t="s">
        <v>166</v>
      </c>
      <c r="D90" s="4">
        <v>0</v>
      </c>
      <c r="E90" s="304">
        <v>0</v>
      </c>
      <c r="F90" s="304">
        <v>0</v>
      </c>
      <c r="G90" s="4">
        <v>0</v>
      </c>
      <c r="H90" s="4">
        <v>0</v>
      </c>
    </row>
    <row r="91" spans="2:8" ht="12" customHeight="1" outlineLevel="2">
      <c r="B91" s="3" t="s">
        <v>167</v>
      </c>
      <c r="C91" s="3" t="s">
        <v>168</v>
      </c>
      <c r="D91" s="4">
        <v>0</v>
      </c>
      <c r="E91" s="304">
        <v>0</v>
      </c>
      <c r="F91" s="304">
        <v>0</v>
      </c>
      <c r="G91" s="4">
        <v>0</v>
      </c>
      <c r="H91" s="4">
        <v>0</v>
      </c>
    </row>
    <row r="92" spans="2:8" ht="12" customHeight="1" outlineLevel="2">
      <c r="B92" s="3" t="s">
        <v>169</v>
      </c>
      <c r="C92" s="3" t="s">
        <v>170</v>
      </c>
      <c r="D92" s="4">
        <v>0</v>
      </c>
      <c r="E92" s="304">
        <v>0</v>
      </c>
      <c r="F92" s="304">
        <v>0</v>
      </c>
      <c r="G92" s="4">
        <v>0</v>
      </c>
      <c r="H92" s="4">
        <v>0</v>
      </c>
    </row>
    <row r="93" spans="2:8" ht="12" customHeight="1" outlineLevel="2">
      <c r="B93" s="3" t="s">
        <v>171</v>
      </c>
      <c r="C93" s="3" t="s">
        <v>172</v>
      </c>
      <c r="D93" s="4">
        <v>0</v>
      </c>
      <c r="E93" s="304">
        <v>0</v>
      </c>
      <c r="F93" s="304">
        <v>0</v>
      </c>
      <c r="G93" s="4">
        <v>0</v>
      </c>
      <c r="H93" s="4">
        <v>0</v>
      </c>
    </row>
    <row r="94" spans="2:8" ht="12" customHeight="1" outlineLevel="2">
      <c r="B94" s="3" t="s">
        <v>173</v>
      </c>
      <c r="C94" s="3" t="s">
        <v>172</v>
      </c>
      <c r="D94" s="4">
        <v>0</v>
      </c>
      <c r="E94" s="304">
        <v>0</v>
      </c>
      <c r="F94" s="304">
        <v>0</v>
      </c>
      <c r="G94" s="4">
        <v>0</v>
      </c>
      <c r="H94" s="4">
        <v>0</v>
      </c>
    </row>
    <row r="95" spans="2:8" ht="12" customHeight="1" outlineLevel="2">
      <c r="B95" s="3" t="s">
        <v>174</v>
      </c>
      <c r="C95" s="3" t="s">
        <v>172</v>
      </c>
      <c r="D95" s="4">
        <v>0</v>
      </c>
      <c r="E95" s="304">
        <v>0</v>
      </c>
      <c r="F95" s="304">
        <v>0</v>
      </c>
      <c r="G95" s="4">
        <v>0</v>
      </c>
      <c r="H95" s="4">
        <v>0</v>
      </c>
    </row>
    <row r="96" spans="2:8" ht="12" customHeight="1" outlineLevel="2">
      <c r="B96" s="3" t="s">
        <v>175</v>
      </c>
      <c r="C96" s="3" t="s">
        <v>172</v>
      </c>
      <c r="D96" s="4">
        <v>0</v>
      </c>
      <c r="E96" s="304">
        <v>0</v>
      </c>
      <c r="F96" s="304">
        <v>0</v>
      </c>
      <c r="G96" s="4">
        <v>0</v>
      </c>
      <c r="H96" s="4">
        <v>0</v>
      </c>
    </row>
    <row r="97" spans="1:9" s="2" customFormat="1" ht="12" customHeight="1" outlineLevel="2">
      <c r="A97" s="1" t="s">
        <v>781</v>
      </c>
      <c r="B97" s="3" t="s">
        <v>793</v>
      </c>
      <c r="C97" s="3"/>
      <c r="D97" s="4">
        <f>SUM(D3:D96)</f>
        <v>3414207.4200000004</v>
      </c>
      <c r="E97" s="304">
        <f>SUM(E3:E96)</f>
        <v>1512998.5155020924</v>
      </c>
      <c r="F97" s="304">
        <v>1512998.5155020924</v>
      </c>
      <c r="G97" s="4">
        <v>1488748.5155020924</v>
      </c>
      <c r="H97" s="4"/>
      <c r="I97" s="309"/>
    </row>
    <row r="98" spans="2:3" ht="12" customHeight="1" outlineLevel="2">
      <c r="B98" s="3"/>
      <c r="C98" s="3"/>
    </row>
    <row r="99" spans="2:3" ht="12" customHeight="1" outlineLevel="2">
      <c r="B99" s="3" t="s">
        <v>797</v>
      </c>
      <c r="C99" s="3"/>
    </row>
    <row r="100" spans="2:11" ht="12" customHeight="1" outlineLevel="2">
      <c r="B100" s="3" t="s">
        <v>176</v>
      </c>
      <c r="C100" s="3" t="s">
        <v>132</v>
      </c>
      <c r="D100" s="4">
        <v>81678.53</v>
      </c>
      <c r="H100" s="4">
        <v>98014.24</v>
      </c>
      <c r="J100" s="2" t="s">
        <v>836</v>
      </c>
      <c r="K100" s="4">
        <v>76570</v>
      </c>
    </row>
    <row r="101" spans="2:8" ht="12" customHeight="1" outlineLevel="2">
      <c r="B101" s="3" t="s">
        <v>177</v>
      </c>
      <c r="C101" s="3" t="s">
        <v>178</v>
      </c>
      <c r="D101" s="4">
        <v>0</v>
      </c>
      <c r="E101" s="304">
        <v>0</v>
      </c>
      <c r="F101" s="304">
        <v>0</v>
      </c>
      <c r="G101" s="4">
        <v>0</v>
      </c>
      <c r="H101" s="4">
        <v>0</v>
      </c>
    </row>
    <row r="103" spans="2:3" ht="12" customHeight="1" outlineLevel="2">
      <c r="B103" s="3"/>
      <c r="C103" s="3"/>
    </row>
    <row r="104" spans="2:3" ht="12" customHeight="1" outlineLevel="2">
      <c r="B104" s="3"/>
      <c r="C104" s="3"/>
    </row>
    <row r="105" spans="2:8" ht="12" customHeight="1" outlineLevel="2">
      <c r="B105" s="3" t="s">
        <v>179</v>
      </c>
      <c r="C105" s="3" t="s">
        <v>180</v>
      </c>
      <c r="D105" s="4">
        <v>0</v>
      </c>
      <c r="E105" s="304">
        <v>0</v>
      </c>
      <c r="F105" s="304">
        <v>0</v>
      </c>
      <c r="G105" s="4">
        <v>0</v>
      </c>
      <c r="H105" s="4">
        <v>0</v>
      </c>
    </row>
    <row r="106" spans="2:8" ht="12" customHeight="1" outlineLevel="2">
      <c r="B106" s="3" t="s">
        <v>181</v>
      </c>
      <c r="C106" s="3" t="s">
        <v>180</v>
      </c>
      <c r="D106" s="4">
        <v>0</v>
      </c>
      <c r="E106" s="304">
        <v>0</v>
      </c>
      <c r="F106" s="304">
        <v>0</v>
      </c>
      <c r="G106" s="4">
        <v>0</v>
      </c>
      <c r="H106" s="4">
        <v>0</v>
      </c>
    </row>
    <row r="107" spans="2:8" ht="12" customHeight="1" outlineLevel="2">
      <c r="B107" s="3" t="s">
        <v>182</v>
      </c>
      <c r="C107" s="3" t="s">
        <v>183</v>
      </c>
      <c r="D107" s="4">
        <v>0</v>
      </c>
      <c r="E107" s="304">
        <v>0</v>
      </c>
      <c r="F107" s="304">
        <v>0</v>
      </c>
      <c r="G107" s="4">
        <v>0</v>
      </c>
      <c r="H107" s="4">
        <v>0</v>
      </c>
    </row>
    <row r="108" spans="2:8" ht="12" customHeight="1" outlineLevel="2">
      <c r="B108" s="3" t="s">
        <v>184</v>
      </c>
      <c r="C108" s="3" t="s">
        <v>185</v>
      </c>
      <c r="D108" s="4">
        <v>0</v>
      </c>
      <c r="E108" s="304">
        <v>0</v>
      </c>
      <c r="F108" s="304">
        <v>0</v>
      </c>
      <c r="G108" s="4">
        <v>0</v>
      </c>
      <c r="H108" s="4">
        <v>0</v>
      </c>
    </row>
    <row r="109" spans="2:8" ht="12" customHeight="1" outlineLevel="2">
      <c r="B109" s="3" t="s">
        <v>186</v>
      </c>
      <c r="C109" s="3" t="s">
        <v>187</v>
      </c>
      <c r="D109" s="4">
        <v>0</v>
      </c>
      <c r="E109" s="304">
        <v>0</v>
      </c>
      <c r="F109" s="304">
        <v>0</v>
      </c>
      <c r="G109" s="4">
        <v>0</v>
      </c>
      <c r="H109" s="4">
        <v>0</v>
      </c>
    </row>
    <row r="110" spans="2:8" ht="12" customHeight="1" outlineLevel="2">
      <c r="B110" s="3" t="s">
        <v>188</v>
      </c>
      <c r="C110" s="3" t="s">
        <v>189</v>
      </c>
      <c r="D110" s="4">
        <v>0</v>
      </c>
      <c r="E110" s="304">
        <v>0</v>
      </c>
      <c r="F110" s="304">
        <v>0</v>
      </c>
      <c r="G110" s="4">
        <v>0</v>
      </c>
      <c r="H110" s="4">
        <v>0</v>
      </c>
    </row>
    <row r="111" spans="2:8" ht="12" customHeight="1" outlineLevel="2">
      <c r="B111" s="3" t="s">
        <v>190</v>
      </c>
      <c r="C111" s="3" t="s">
        <v>191</v>
      </c>
      <c r="D111" s="4">
        <v>0</v>
      </c>
      <c r="E111" s="304">
        <v>0</v>
      </c>
      <c r="F111" s="304">
        <v>0</v>
      </c>
      <c r="G111" s="4">
        <v>0</v>
      </c>
      <c r="H111" s="4">
        <v>0</v>
      </c>
    </row>
    <row r="112" spans="2:8" ht="12" customHeight="1" outlineLevel="2">
      <c r="B112" s="3" t="s">
        <v>192</v>
      </c>
      <c r="C112" s="3" t="s">
        <v>189</v>
      </c>
      <c r="D112" s="4">
        <v>0</v>
      </c>
      <c r="E112" s="304">
        <v>0</v>
      </c>
      <c r="F112" s="304">
        <v>0</v>
      </c>
      <c r="G112" s="4">
        <v>0</v>
      </c>
      <c r="H112" s="4">
        <v>0</v>
      </c>
    </row>
    <row r="113" spans="2:8" ht="12" customHeight="1" outlineLevel="2">
      <c r="B113" s="3" t="s">
        <v>193</v>
      </c>
      <c r="C113" s="3" t="s">
        <v>194</v>
      </c>
      <c r="D113" s="4">
        <v>0</v>
      </c>
      <c r="E113" s="304">
        <v>0</v>
      </c>
      <c r="F113" s="304">
        <v>0</v>
      </c>
      <c r="G113" s="4">
        <v>0</v>
      </c>
      <c r="H113" s="4">
        <v>0</v>
      </c>
    </row>
    <row r="114" spans="2:8" ht="12" customHeight="1" outlineLevel="2">
      <c r="B114" s="3" t="s">
        <v>195</v>
      </c>
      <c r="C114" s="3" t="s">
        <v>196</v>
      </c>
      <c r="D114" s="4">
        <v>0</v>
      </c>
      <c r="E114" s="304">
        <v>0</v>
      </c>
      <c r="F114" s="304">
        <v>0</v>
      </c>
      <c r="G114" s="4">
        <v>0</v>
      </c>
      <c r="H114" s="4">
        <v>0</v>
      </c>
    </row>
    <row r="115" spans="2:8" ht="12" customHeight="1" outlineLevel="2">
      <c r="B115" s="3" t="s">
        <v>197</v>
      </c>
      <c r="C115" s="3" t="s">
        <v>198</v>
      </c>
      <c r="D115" s="4">
        <v>0</v>
      </c>
      <c r="E115" s="304">
        <v>0</v>
      </c>
      <c r="F115" s="304">
        <v>0</v>
      </c>
      <c r="G115" s="4">
        <v>0</v>
      </c>
      <c r="H115" s="4">
        <v>0</v>
      </c>
    </row>
    <row r="116" spans="2:8" ht="12" customHeight="1" outlineLevel="2">
      <c r="B116" s="3" t="s">
        <v>199</v>
      </c>
      <c r="C116" s="3" t="s">
        <v>200</v>
      </c>
      <c r="D116" s="4">
        <v>0</v>
      </c>
      <c r="E116" s="304">
        <v>0</v>
      </c>
      <c r="F116" s="304">
        <v>0</v>
      </c>
      <c r="G116" s="4">
        <v>0</v>
      </c>
      <c r="H116" s="4">
        <v>0</v>
      </c>
    </row>
    <row r="117" spans="2:8" ht="12" customHeight="1" outlineLevel="2">
      <c r="B117" s="3" t="s">
        <v>201</v>
      </c>
      <c r="C117" s="3" t="s">
        <v>202</v>
      </c>
      <c r="D117" s="4">
        <v>0</v>
      </c>
      <c r="E117" s="304">
        <v>0</v>
      </c>
      <c r="F117" s="304">
        <v>0</v>
      </c>
      <c r="G117" s="4">
        <v>0</v>
      </c>
      <c r="H117" s="4">
        <v>0</v>
      </c>
    </row>
    <row r="118" spans="2:8" ht="12" customHeight="1" outlineLevel="2">
      <c r="B118" s="3" t="s">
        <v>203</v>
      </c>
      <c r="C118" s="3" t="s">
        <v>183</v>
      </c>
      <c r="D118" s="4">
        <v>0</v>
      </c>
      <c r="E118" s="304">
        <v>0</v>
      </c>
      <c r="F118" s="304">
        <v>0</v>
      </c>
      <c r="G118" s="4">
        <v>0</v>
      </c>
      <c r="H118" s="4">
        <v>0</v>
      </c>
    </row>
    <row r="119" spans="2:8" ht="12" customHeight="1" outlineLevel="2">
      <c r="B119" s="3" t="s">
        <v>204</v>
      </c>
      <c r="C119" s="3" t="s">
        <v>205</v>
      </c>
      <c r="D119" s="4">
        <v>0</v>
      </c>
      <c r="E119" s="304">
        <v>0</v>
      </c>
      <c r="F119" s="304">
        <v>0</v>
      </c>
      <c r="G119" s="4">
        <v>0</v>
      </c>
      <c r="H119" s="4">
        <v>0</v>
      </c>
    </row>
    <row r="120" spans="2:8" ht="12" customHeight="1" outlineLevel="2">
      <c r="B120" s="3" t="s">
        <v>206</v>
      </c>
      <c r="C120" s="3" t="s">
        <v>207</v>
      </c>
      <c r="D120" s="4">
        <v>0</v>
      </c>
      <c r="E120" s="304">
        <v>0</v>
      </c>
      <c r="F120" s="304">
        <v>0</v>
      </c>
      <c r="G120" s="4">
        <v>0</v>
      </c>
      <c r="H120" s="4">
        <v>0</v>
      </c>
    </row>
    <row r="121" spans="2:8" ht="12" customHeight="1" outlineLevel="2">
      <c r="B121" s="3" t="s">
        <v>208</v>
      </c>
      <c r="C121" s="3" t="s">
        <v>209</v>
      </c>
      <c r="D121" s="4">
        <v>0</v>
      </c>
      <c r="E121" s="304">
        <v>0</v>
      </c>
      <c r="F121" s="304">
        <v>0</v>
      </c>
      <c r="G121" s="4">
        <v>0</v>
      </c>
      <c r="H121" s="4">
        <v>0</v>
      </c>
    </row>
    <row r="122" spans="2:8" ht="12" customHeight="1" outlineLevel="2">
      <c r="B122" s="3" t="s">
        <v>210</v>
      </c>
      <c r="C122" s="3" t="s">
        <v>211</v>
      </c>
      <c r="D122" s="4">
        <v>0</v>
      </c>
      <c r="E122" s="304">
        <v>0</v>
      </c>
      <c r="F122" s="304">
        <v>0</v>
      </c>
      <c r="G122" s="4">
        <v>0</v>
      </c>
      <c r="H122" s="4">
        <v>0</v>
      </c>
    </row>
    <row r="123" spans="2:8" ht="12" customHeight="1" outlineLevel="2">
      <c r="B123" s="3" t="s">
        <v>212</v>
      </c>
      <c r="C123" s="3" t="s">
        <v>211</v>
      </c>
      <c r="D123" s="4">
        <v>0</v>
      </c>
      <c r="E123" s="304">
        <v>0</v>
      </c>
      <c r="F123" s="304">
        <v>0</v>
      </c>
      <c r="G123" s="4">
        <v>0</v>
      </c>
      <c r="H123" s="4">
        <v>0</v>
      </c>
    </row>
    <row r="124" spans="2:8" ht="12" customHeight="1" outlineLevel="2">
      <c r="B124" s="3" t="s">
        <v>213</v>
      </c>
      <c r="C124" s="3" t="s">
        <v>214</v>
      </c>
      <c r="D124" s="4">
        <v>0</v>
      </c>
      <c r="E124" s="304">
        <v>0</v>
      </c>
      <c r="F124" s="304">
        <v>0</v>
      </c>
      <c r="G124" s="4">
        <v>0</v>
      </c>
      <c r="H124" s="4">
        <v>0</v>
      </c>
    </row>
    <row r="125" spans="2:8" ht="21.75" customHeight="1" outlineLevel="2">
      <c r="B125" s="3" t="s">
        <v>215</v>
      </c>
      <c r="C125" s="3" t="s">
        <v>216</v>
      </c>
      <c r="D125" s="4">
        <v>0</v>
      </c>
      <c r="E125" s="304">
        <v>0</v>
      </c>
      <c r="F125" s="304">
        <v>0</v>
      </c>
      <c r="G125" s="4">
        <v>0</v>
      </c>
      <c r="H125" s="4">
        <v>0</v>
      </c>
    </row>
    <row r="126" spans="2:8" ht="12" customHeight="1" outlineLevel="2">
      <c r="B126" s="3" t="s">
        <v>217</v>
      </c>
      <c r="C126" s="3" t="s">
        <v>218</v>
      </c>
      <c r="D126" s="4">
        <v>0</v>
      </c>
      <c r="E126" s="304">
        <v>0</v>
      </c>
      <c r="F126" s="304">
        <v>0</v>
      </c>
      <c r="G126" s="4">
        <v>0</v>
      </c>
      <c r="H126" s="4">
        <v>0</v>
      </c>
    </row>
    <row r="127" spans="2:8" ht="21.75" customHeight="1" outlineLevel="2">
      <c r="B127" s="3" t="s">
        <v>219</v>
      </c>
      <c r="C127" s="3" t="s">
        <v>220</v>
      </c>
      <c r="D127" s="4">
        <v>0</v>
      </c>
      <c r="E127" s="304">
        <v>0</v>
      </c>
      <c r="F127" s="304">
        <v>0</v>
      </c>
      <c r="G127" s="4">
        <v>0</v>
      </c>
      <c r="H127" s="4">
        <v>0</v>
      </c>
    </row>
    <row r="128" spans="2:8" ht="21.75" customHeight="1" outlineLevel="2">
      <c r="B128" s="3" t="s">
        <v>221</v>
      </c>
      <c r="C128" s="3" t="s">
        <v>222</v>
      </c>
      <c r="D128" s="4">
        <v>0</v>
      </c>
      <c r="E128" s="304">
        <v>0</v>
      </c>
      <c r="F128" s="304">
        <v>0</v>
      </c>
      <c r="G128" s="4">
        <v>0</v>
      </c>
      <c r="H128" s="4">
        <v>0</v>
      </c>
    </row>
    <row r="129" spans="2:8" ht="12" customHeight="1" outlineLevel="2">
      <c r="B129" s="3" t="s">
        <v>223</v>
      </c>
      <c r="C129" s="3" t="s">
        <v>224</v>
      </c>
      <c r="D129" s="4">
        <v>0</v>
      </c>
      <c r="E129" s="304">
        <v>0</v>
      </c>
      <c r="F129" s="304">
        <v>0</v>
      </c>
      <c r="G129" s="4">
        <v>0</v>
      </c>
      <c r="H129" s="4">
        <v>0</v>
      </c>
    </row>
    <row r="130" spans="2:8" ht="12" customHeight="1" outlineLevel="2">
      <c r="B130" s="3" t="s">
        <v>225</v>
      </c>
      <c r="C130" s="3" t="s">
        <v>183</v>
      </c>
      <c r="D130" s="4">
        <v>0</v>
      </c>
      <c r="E130" s="304">
        <v>0</v>
      </c>
      <c r="F130" s="304">
        <v>0</v>
      </c>
      <c r="G130" s="4">
        <v>0</v>
      </c>
      <c r="H130" s="4">
        <v>0</v>
      </c>
    </row>
    <row r="131" spans="2:8" ht="12" customHeight="1" outlineLevel="2">
      <c r="B131" s="3" t="s">
        <v>226</v>
      </c>
      <c r="C131" s="3" t="s">
        <v>227</v>
      </c>
      <c r="D131" s="4">
        <v>0</v>
      </c>
      <c r="E131" s="304">
        <v>0</v>
      </c>
      <c r="F131" s="304">
        <v>0</v>
      </c>
      <c r="G131" s="4">
        <v>0</v>
      </c>
      <c r="H131" s="4">
        <v>0</v>
      </c>
    </row>
    <row r="132" spans="2:8" ht="12" customHeight="1" outlineLevel="2">
      <c r="B132" s="3" t="s">
        <v>228</v>
      </c>
      <c r="C132" s="3" t="s">
        <v>229</v>
      </c>
      <c r="D132" s="4">
        <v>0</v>
      </c>
      <c r="E132" s="304">
        <v>0</v>
      </c>
      <c r="F132" s="304">
        <v>0</v>
      </c>
      <c r="G132" s="4">
        <v>0</v>
      </c>
      <c r="H132" s="4">
        <v>0</v>
      </c>
    </row>
    <row r="133" spans="2:8" ht="12" customHeight="1" outlineLevel="2">
      <c r="B133" s="3" t="s">
        <v>230</v>
      </c>
      <c r="C133" s="3" t="s">
        <v>231</v>
      </c>
      <c r="D133" s="4">
        <v>0</v>
      </c>
      <c r="E133" s="304">
        <v>0</v>
      </c>
      <c r="F133" s="304">
        <v>0</v>
      </c>
      <c r="G133" s="4">
        <v>0</v>
      </c>
      <c r="H133" s="4">
        <v>0</v>
      </c>
    </row>
    <row r="134" spans="2:8" ht="12" customHeight="1" outlineLevel="2">
      <c r="B134" s="3" t="s">
        <v>232</v>
      </c>
      <c r="C134" s="3" t="s">
        <v>191</v>
      </c>
      <c r="D134" s="4">
        <v>0</v>
      </c>
      <c r="E134" s="304">
        <v>0</v>
      </c>
      <c r="F134" s="304">
        <v>0</v>
      </c>
      <c r="G134" s="4">
        <v>0</v>
      </c>
      <c r="H134" s="4">
        <v>0</v>
      </c>
    </row>
    <row r="135" spans="2:8" ht="12" customHeight="1" outlineLevel="2">
      <c r="B135" s="3" t="s">
        <v>233</v>
      </c>
      <c r="C135" s="3" t="s">
        <v>187</v>
      </c>
      <c r="D135" s="4">
        <v>0</v>
      </c>
      <c r="E135" s="304">
        <v>0</v>
      </c>
      <c r="F135" s="304">
        <v>0</v>
      </c>
      <c r="G135" s="4">
        <v>0</v>
      </c>
      <c r="H135" s="4">
        <v>0</v>
      </c>
    </row>
    <row r="136" spans="2:8" ht="12" customHeight="1" outlineLevel="2">
      <c r="B136" s="3" t="s">
        <v>234</v>
      </c>
      <c r="C136" s="3" t="s">
        <v>235</v>
      </c>
      <c r="D136" s="4">
        <v>0</v>
      </c>
      <c r="E136" s="304">
        <v>0</v>
      </c>
      <c r="F136" s="304">
        <v>0</v>
      </c>
      <c r="G136" s="4">
        <v>0</v>
      </c>
      <c r="H136" s="4">
        <v>0</v>
      </c>
    </row>
    <row r="137" spans="2:8" ht="12" customHeight="1" outlineLevel="2">
      <c r="B137" s="3" t="s">
        <v>236</v>
      </c>
      <c r="C137" s="3" t="s">
        <v>237</v>
      </c>
      <c r="D137" s="4">
        <v>0</v>
      </c>
      <c r="E137" s="304">
        <v>0</v>
      </c>
      <c r="F137" s="304">
        <v>0</v>
      </c>
      <c r="G137" s="4">
        <v>0</v>
      </c>
      <c r="H137" s="4">
        <v>0</v>
      </c>
    </row>
    <row r="138" spans="2:8" ht="12" customHeight="1" outlineLevel="2">
      <c r="B138" s="3" t="s">
        <v>238</v>
      </c>
      <c r="C138" s="3" t="s">
        <v>189</v>
      </c>
      <c r="D138" s="4">
        <v>0</v>
      </c>
      <c r="E138" s="304">
        <v>0</v>
      </c>
      <c r="F138" s="304">
        <v>0</v>
      </c>
      <c r="G138" s="4">
        <v>0</v>
      </c>
      <c r="H138" s="4">
        <v>0</v>
      </c>
    </row>
    <row r="139" spans="2:8" ht="12" customHeight="1" outlineLevel="2">
      <c r="B139" s="3" t="s">
        <v>239</v>
      </c>
      <c r="C139" s="3" t="s">
        <v>240</v>
      </c>
      <c r="D139" s="4">
        <v>0</v>
      </c>
      <c r="E139" s="304">
        <v>0</v>
      </c>
      <c r="F139" s="304">
        <v>0</v>
      </c>
      <c r="G139" s="4">
        <v>0</v>
      </c>
      <c r="H139" s="4">
        <v>0</v>
      </c>
    </row>
    <row r="140" spans="2:8" ht="12" customHeight="1" outlineLevel="2">
      <c r="B140" s="3" t="s">
        <v>241</v>
      </c>
      <c r="C140" s="3" t="s">
        <v>242</v>
      </c>
      <c r="D140" s="4">
        <v>0</v>
      </c>
      <c r="E140" s="304">
        <v>0</v>
      </c>
      <c r="F140" s="304">
        <v>0</v>
      </c>
      <c r="G140" s="4">
        <v>0</v>
      </c>
      <c r="H140" s="4">
        <v>0</v>
      </c>
    </row>
    <row r="141" spans="2:8" ht="12" customHeight="1" outlineLevel="2">
      <c r="B141" s="3" t="s">
        <v>243</v>
      </c>
      <c r="C141" s="3" t="s">
        <v>196</v>
      </c>
      <c r="D141" s="4">
        <v>0</v>
      </c>
      <c r="E141" s="304">
        <v>0</v>
      </c>
      <c r="F141" s="304">
        <v>0</v>
      </c>
      <c r="G141" s="4">
        <v>0</v>
      </c>
      <c r="H141" s="4">
        <v>0</v>
      </c>
    </row>
    <row r="142" spans="2:8" ht="12" customHeight="1" outlineLevel="2">
      <c r="B142" s="3" t="s">
        <v>244</v>
      </c>
      <c r="C142" s="3" t="s">
        <v>245</v>
      </c>
      <c r="D142" s="4">
        <v>0</v>
      </c>
      <c r="E142" s="304">
        <v>0</v>
      </c>
      <c r="F142" s="304">
        <v>0</v>
      </c>
      <c r="G142" s="4">
        <v>0</v>
      </c>
      <c r="H142" s="4">
        <v>0</v>
      </c>
    </row>
    <row r="143" spans="2:8" ht="12" customHeight="1" outlineLevel="2">
      <c r="B143" s="3" t="s">
        <v>246</v>
      </c>
      <c r="C143" s="3" t="s">
        <v>198</v>
      </c>
      <c r="D143" s="4">
        <v>0</v>
      </c>
      <c r="E143" s="304">
        <v>0</v>
      </c>
      <c r="F143" s="304">
        <v>0</v>
      </c>
      <c r="G143" s="4">
        <v>0</v>
      </c>
      <c r="H143" s="4">
        <v>0</v>
      </c>
    </row>
    <row r="144" spans="2:8" ht="12" customHeight="1" outlineLevel="2">
      <c r="B144" s="3" t="s">
        <v>247</v>
      </c>
      <c r="C144" s="3" t="s">
        <v>248</v>
      </c>
      <c r="D144" s="4">
        <v>0</v>
      </c>
      <c r="E144" s="304">
        <v>0</v>
      </c>
      <c r="F144" s="304">
        <v>0</v>
      </c>
      <c r="G144" s="4">
        <v>0</v>
      </c>
      <c r="H144" s="4">
        <v>0</v>
      </c>
    </row>
    <row r="145" spans="2:8" ht="12" customHeight="1" outlineLevel="2">
      <c r="B145" s="3" t="s">
        <v>249</v>
      </c>
      <c r="C145" s="3" t="s">
        <v>250</v>
      </c>
      <c r="D145" s="4">
        <v>0</v>
      </c>
      <c r="E145" s="304">
        <v>0</v>
      </c>
      <c r="F145" s="304">
        <v>0</v>
      </c>
      <c r="G145" s="4">
        <v>0</v>
      </c>
      <c r="H145" s="4">
        <v>0</v>
      </c>
    </row>
    <row r="146" spans="2:8" ht="12" customHeight="1" outlineLevel="2">
      <c r="B146" s="3" t="s">
        <v>251</v>
      </c>
      <c r="C146" s="3" t="s">
        <v>211</v>
      </c>
      <c r="D146" s="4">
        <v>0</v>
      </c>
      <c r="E146" s="304">
        <v>0</v>
      </c>
      <c r="F146" s="304">
        <v>0</v>
      </c>
      <c r="G146" s="4">
        <v>0</v>
      </c>
      <c r="H146" s="4">
        <v>0</v>
      </c>
    </row>
    <row r="147" spans="2:8" ht="12" customHeight="1" outlineLevel="2">
      <c r="B147" s="3" t="s">
        <v>252</v>
      </c>
      <c r="C147" s="3" t="s">
        <v>253</v>
      </c>
      <c r="D147" s="4">
        <v>0</v>
      </c>
      <c r="E147" s="304">
        <v>0</v>
      </c>
      <c r="F147" s="304">
        <v>0</v>
      </c>
      <c r="G147" s="4">
        <v>0</v>
      </c>
      <c r="H147" s="4">
        <v>0</v>
      </c>
    </row>
    <row r="148" spans="2:8" ht="12" customHeight="1" outlineLevel="2">
      <c r="B148" s="3" t="s">
        <v>254</v>
      </c>
      <c r="C148" s="3" t="s">
        <v>224</v>
      </c>
      <c r="D148" s="4">
        <v>0</v>
      </c>
      <c r="E148" s="304">
        <v>0</v>
      </c>
      <c r="F148" s="304">
        <v>0</v>
      </c>
      <c r="G148" s="4">
        <v>0</v>
      </c>
      <c r="H148" s="4">
        <v>0</v>
      </c>
    </row>
    <row r="149" spans="2:8" ht="12" customHeight="1" outlineLevel="2">
      <c r="B149" s="3" t="s">
        <v>255</v>
      </c>
      <c r="C149" s="3" t="s">
        <v>183</v>
      </c>
      <c r="D149" s="4">
        <v>0</v>
      </c>
      <c r="E149" s="304">
        <v>0</v>
      </c>
      <c r="F149" s="304">
        <v>0</v>
      </c>
      <c r="G149" s="4">
        <v>0</v>
      </c>
      <c r="H149" s="4">
        <v>0</v>
      </c>
    </row>
    <row r="150" spans="2:8" ht="12" customHeight="1" outlineLevel="2">
      <c r="B150" s="3" t="s">
        <v>256</v>
      </c>
      <c r="C150" s="3" t="s">
        <v>205</v>
      </c>
      <c r="D150" s="4">
        <v>0</v>
      </c>
      <c r="E150" s="304">
        <v>0</v>
      </c>
      <c r="F150" s="304">
        <v>0</v>
      </c>
      <c r="G150" s="4">
        <v>0</v>
      </c>
      <c r="H150" s="4">
        <v>0</v>
      </c>
    </row>
    <row r="151" spans="2:8" ht="12" customHeight="1" outlineLevel="2">
      <c r="B151" s="3" t="s">
        <v>257</v>
      </c>
      <c r="C151" s="3" t="s">
        <v>209</v>
      </c>
      <c r="D151" s="4">
        <v>0</v>
      </c>
      <c r="E151" s="304">
        <v>0</v>
      </c>
      <c r="F151" s="304">
        <v>0</v>
      </c>
      <c r="G151" s="4">
        <v>0</v>
      </c>
      <c r="H151" s="4">
        <v>0</v>
      </c>
    </row>
    <row r="152" spans="2:8" ht="12" customHeight="1" outlineLevel="2">
      <c r="B152" s="3" t="s">
        <v>258</v>
      </c>
      <c r="C152" s="3" t="s">
        <v>209</v>
      </c>
      <c r="D152" s="4">
        <v>0</v>
      </c>
      <c r="E152" s="304">
        <v>0</v>
      </c>
      <c r="F152" s="304">
        <v>0</v>
      </c>
      <c r="G152" s="4">
        <v>0</v>
      </c>
      <c r="H152" s="4">
        <v>0</v>
      </c>
    </row>
    <row r="153" spans="2:8" ht="12" customHeight="1" outlineLevel="2">
      <c r="B153" s="3" t="s">
        <v>259</v>
      </c>
      <c r="C153" s="3" t="s">
        <v>260</v>
      </c>
      <c r="D153" s="4">
        <v>0</v>
      </c>
      <c r="E153" s="304">
        <v>0</v>
      </c>
      <c r="F153" s="304">
        <v>0</v>
      </c>
      <c r="G153" s="4">
        <v>0</v>
      </c>
      <c r="H153" s="4">
        <v>0</v>
      </c>
    </row>
    <row r="154" spans="2:8" ht="12" customHeight="1" outlineLevel="2">
      <c r="B154" s="3" t="s">
        <v>261</v>
      </c>
      <c r="C154" s="3" t="s">
        <v>242</v>
      </c>
      <c r="D154" s="4">
        <v>0</v>
      </c>
      <c r="E154" s="304">
        <v>0</v>
      </c>
      <c r="F154" s="304">
        <v>0</v>
      </c>
      <c r="G154" s="4">
        <v>0</v>
      </c>
      <c r="H154" s="4">
        <v>0</v>
      </c>
    </row>
    <row r="155" spans="2:8" ht="12" customHeight="1" outlineLevel="2">
      <c r="B155" s="3" t="s">
        <v>262</v>
      </c>
      <c r="C155" s="3" t="s">
        <v>263</v>
      </c>
      <c r="D155" s="4">
        <v>0</v>
      </c>
      <c r="E155" s="304">
        <v>0</v>
      </c>
      <c r="F155" s="304">
        <v>0</v>
      </c>
      <c r="G155" s="4">
        <v>0</v>
      </c>
      <c r="H155" s="4">
        <v>0</v>
      </c>
    </row>
    <row r="156" spans="2:8" ht="12" customHeight="1" outlineLevel="2">
      <c r="B156" s="3" t="s">
        <v>264</v>
      </c>
      <c r="C156" s="3" t="s">
        <v>265</v>
      </c>
      <c r="D156" s="4">
        <v>0</v>
      </c>
      <c r="E156" s="304">
        <v>0</v>
      </c>
      <c r="F156" s="304">
        <v>0</v>
      </c>
      <c r="G156" s="4">
        <v>0</v>
      </c>
      <c r="H156" s="4">
        <v>0</v>
      </c>
    </row>
    <row r="157" spans="2:8" ht="12" customHeight="1" outlineLevel="2">
      <c r="B157" s="3" t="s">
        <v>266</v>
      </c>
      <c r="C157" s="3" t="s">
        <v>267</v>
      </c>
      <c r="D157" s="4">
        <v>0</v>
      </c>
      <c r="E157" s="304">
        <v>0</v>
      </c>
      <c r="F157" s="304">
        <v>0</v>
      </c>
      <c r="G157" s="4">
        <v>0</v>
      </c>
      <c r="H157" s="4">
        <v>0</v>
      </c>
    </row>
    <row r="158" spans="2:8" ht="12" customHeight="1" outlineLevel="2">
      <c r="B158" s="3" t="s">
        <v>268</v>
      </c>
      <c r="C158" s="3" t="s">
        <v>269</v>
      </c>
      <c r="D158" s="4">
        <v>0</v>
      </c>
      <c r="E158" s="304">
        <v>0</v>
      </c>
      <c r="F158" s="304">
        <v>0</v>
      </c>
      <c r="G158" s="4">
        <v>0</v>
      </c>
      <c r="H158" s="4">
        <v>0</v>
      </c>
    </row>
    <row r="159" spans="2:8" ht="12" customHeight="1" outlineLevel="2">
      <c r="B159" s="3" t="s">
        <v>270</v>
      </c>
      <c r="C159" s="3" t="s">
        <v>271</v>
      </c>
      <c r="D159" s="4">
        <v>0</v>
      </c>
      <c r="E159" s="304">
        <v>0</v>
      </c>
      <c r="F159" s="304">
        <v>0</v>
      </c>
      <c r="G159" s="4">
        <v>0</v>
      </c>
      <c r="H159" s="4">
        <v>0</v>
      </c>
    </row>
    <row r="160" spans="2:8" ht="12" customHeight="1" outlineLevel="2">
      <c r="B160" s="3" t="s">
        <v>272</v>
      </c>
      <c r="C160" s="3" t="s">
        <v>273</v>
      </c>
      <c r="D160" s="4">
        <v>0</v>
      </c>
      <c r="E160" s="304">
        <v>0</v>
      </c>
      <c r="F160" s="304">
        <v>0</v>
      </c>
      <c r="G160" s="4">
        <v>0</v>
      </c>
      <c r="H160" s="4">
        <v>0</v>
      </c>
    </row>
    <row r="161" spans="2:8" ht="21.75" customHeight="1" outlineLevel="2">
      <c r="B161" s="3" t="s">
        <v>274</v>
      </c>
      <c r="C161" s="3" t="s">
        <v>275</v>
      </c>
      <c r="D161" s="4">
        <v>0</v>
      </c>
      <c r="E161" s="304">
        <v>0</v>
      </c>
      <c r="F161" s="304">
        <v>0</v>
      </c>
      <c r="G161" s="4">
        <v>0</v>
      </c>
      <c r="H161" s="4">
        <v>0</v>
      </c>
    </row>
    <row r="162" spans="2:8" ht="12" customHeight="1" outlineLevel="2">
      <c r="B162" s="3" t="s">
        <v>276</v>
      </c>
      <c r="C162" s="3" t="s">
        <v>196</v>
      </c>
      <c r="D162" s="4">
        <v>0</v>
      </c>
      <c r="E162" s="304">
        <v>0</v>
      </c>
      <c r="F162" s="304">
        <v>0</v>
      </c>
      <c r="G162" s="4">
        <v>0</v>
      </c>
      <c r="H162" s="4">
        <v>0</v>
      </c>
    </row>
    <row r="163" spans="2:8" ht="12" customHeight="1" outlineLevel="2">
      <c r="B163" s="3" t="s">
        <v>277</v>
      </c>
      <c r="D163" s="4">
        <v>0</v>
      </c>
      <c r="E163" s="304">
        <v>0</v>
      </c>
      <c r="F163" s="304">
        <v>0</v>
      </c>
      <c r="G163" s="4">
        <v>0</v>
      </c>
      <c r="H163" s="4">
        <v>0</v>
      </c>
    </row>
    <row r="164" spans="2:8" ht="12" customHeight="1" outlineLevel="2">
      <c r="B164" s="3" t="s">
        <v>278</v>
      </c>
      <c r="D164" s="4">
        <v>0</v>
      </c>
      <c r="E164" s="304">
        <v>0</v>
      </c>
      <c r="F164" s="304">
        <v>0</v>
      </c>
      <c r="G164" s="4">
        <v>0</v>
      </c>
      <c r="H164" s="4">
        <v>0</v>
      </c>
    </row>
    <row r="165" spans="2:8" ht="12" customHeight="1" outlineLevel="2">
      <c r="B165" s="3" t="s">
        <v>279</v>
      </c>
      <c r="D165" s="4">
        <v>0</v>
      </c>
      <c r="E165" s="304">
        <v>0</v>
      </c>
      <c r="F165" s="304">
        <v>0</v>
      </c>
      <c r="G165" s="4">
        <v>0</v>
      </c>
      <c r="H165" s="4">
        <v>0</v>
      </c>
    </row>
    <row r="166" spans="2:8" ht="12" customHeight="1" outlineLevel="2">
      <c r="B166" s="3" t="s">
        <v>280</v>
      </c>
      <c r="D166" s="4">
        <v>0</v>
      </c>
      <c r="E166" s="304">
        <v>0</v>
      </c>
      <c r="F166" s="304">
        <v>0</v>
      </c>
      <c r="G166" s="4">
        <v>0</v>
      </c>
      <c r="H166" s="4">
        <v>0</v>
      </c>
    </row>
    <row r="167" spans="2:8" ht="12" customHeight="1" outlineLevel="2">
      <c r="B167" s="3" t="s">
        <v>281</v>
      </c>
      <c r="C167" s="3" t="s">
        <v>282</v>
      </c>
      <c r="D167" s="4">
        <v>0</v>
      </c>
      <c r="E167" s="304">
        <v>0</v>
      </c>
      <c r="F167" s="304">
        <v>0</v>
      </c>
      <c r="G167" s="4">
        <v>0</v>
      </c>
      <c r="H167" s="4">
        <v>0</v>
      </c>
    </row>
    <row r="168" spans="2:8" ht="12" customHeight="1" outlineLevel="2">
      <c r="B168" s="3" t="s">
        <v>283</v>
      </c>
      <c r="C168" s="3" t="s">
        <v>211</v>
      </c>
      <c r="D168" s="4">
        <v>0</v>
      </c>
      <c r="E168" s="304">
        <v>0</v>
      </c>
      <c r="F168" s="304">
        <v>0</v>
      </c>
      <c r="G168" s="4">
        <v>0</v>
      </c>
      <c r="H168" s="4">
        <v>0</v>
      </c>
    </row>
    <row r="169" spans="2:8" ht="12" customHeight="1" outlineLevel="2">
      <c r="B169" s="3" t="s">
        <v>284</v>
      </c>
      <c r="C169" s="3" t="s">
        <v>285</v>
      </c>
      <c r="D169" s="4">
        <v>0</v>
      </c>
      <c r="E169" s="304">
        <v>0</v>
      </c>
      <c r="F169" s="304">
        <v>0</v>
      </c>
      <c r="G169" s="4">
        <v>0</v>
      </c>
      <c r="H169" s="4">
        <v>0</v>
      </c>
    </row>
    <row r="170" spans="2:8" ht="12" customHeight="1" outlineLevel="2">
      <c r="B170" s="3" t="s">
        <v>286</v>
      </c>
      <c r="C170" s="3" t="s">
        <v>287</v>
      </c>
      <c r="D170" s="4">
        <v>0</v>
      </c>
      <c r="E170" s="304">
        <v>0</v>
      </c>
      <c r="F170" s="304">
        <v>0</v>
      </c>
      <c r="G170" s="4">
        <v>0</v>
      </c>
      <c r="H170" s="4">
        <v>0</v>
      </c>
    </row>
    <row r="171" spans="2:8" ht="12" customHeight="1" outlineLevel="2">
      <c r="B171" s="3" t="s">
        <v>288</v>
      </c>
      <c r="C171" s="3" t="s">
        <v>289</v>
      </c>
      <c r="D171" s="4">
        <v>0</v>
      </c>
      <c r="E171" s="304">
        <v>0</v>
      </c>
      <c r="F171" s="304">
        <v>0</v>
      </c>
      <c r="G171" s="4">
        <v>0</v>
      </c>
      <c r="H171" s="4">
        <v>0</v>
      </c>
    </row>
    <row r="172" spans="2:8" ht="12" customHeight="1" outlineLevel="2">
      <c r="B172" s="3" t="s">
        <v>290</v>
      </c>
      <c r="C172" s="3" t="s">
        <v>291</v>
      </c>
      <c r="D172" s="4">
        <v>0</v>
      </c>
      <c r="E172" s="304">
        <v>0</v>
      </c>
      <c r="F172" s="304">
        <v>0</v>
      </c>
      <c r="G172" s="4">
        <v>0</v>
      </c>
      <c r="H172" s="4">
        <v>0</v>
      </c>
    </row>
    <row r="173" spans="2:8" ht="21.75" customHeight="1" outlineLevel="2">
      <c r="B173" s="3" t="s">
        <v>292</v>
      </c>
      <c r="C173" s="3" t="s">
        <v>222</v>
      </c>
      <c r="D173" s="4">
        <v>0</v>
      </c>
      <c r="E173" s="304">
        <v>0</v>
      </c>
      <c r="F173" s="304">
        <v>0</v>
      </c>
      <c r="G173" s="4">
        <v>0</v>
      </c>
      <c r="H173" s="4">
        <v>0</v>
      </c>
    </row>
    <row r="174" spans="2:8" ht="12" customHeight="1" outlineLevel="2">
      <c r="B174" s="3" t="s">
        <v>293</v>
      </c>
      <c r="C174" s="3" t="s">
        <v>224</v>
      </c>
      <c r="D174" s="4">
        <v>0</v>
      </c>
      <c r="E174" s="304">
        <v>0</v>
      </c>
      <c r="F174" s="304">
        <v>0</v>
      </c>
      <c r="G174" s="4">
        <v>0</v>
      </c>
      <c r="H174" s="4">
        <v>0</v>
      </c>
    </row>
    <row r="175" spans="1:11" s="241" customFormat="1" ht="12" customHeight="1" outlineLevel="2">
      <c r="A175" s="473"/>
      <c r="B175" s="242" t="s">
        <v>294</v>
      </c>
      <c r="C175" s="242" t="s">
        <v>183</v>
      </c>
      <c r="D175" s="243">
        <v>69201.58</v>
      </c>
      <c r="E175" s="304"/>
      <c r="F175" s="304"/>
      <c r="G175" s="243"/>
      <c r="H175" s="243">
        <v>83041.9</v>
      </c>
      <c r="I175" s="474"/>
      <c r="J175" s="473" t="s">
        <v>836</v>
      </c>
      <c r="K175" s="243">
        <v>76570</v>
      </c>
    </row>
    <row r="176" spans="2:8" ht="12" customHeight="1" outlineLevel="2">
      <c r="B176" s="3" t="s">
        <v>295</v>
      </c>
      <c r="C176" s="3" t="s">
        <v>296</v>
      </c>
      <c r="D176" s="4">
        <v>0</v>
      </c>
      <c r="E176" s="304">
        <v>0</v>
      </c>
      <c r="F176" s="304">
        <v>0</v>
      </c>
      <c r="G176" s="4">
        <v>0</v>
      </c>
      <c r="H176" s="4">
        <v>0</v>
      </c>
    </row>
    <row r="177" spans="2:8" ht="12" customHeight="1" outlineLevel="2">
      <c r="B177" s="3" t="s">
        <v>297</v>
      </c>
      <c r="C177" s="3" t="s">
        <v>298</v>
      </c>
      <c r="D177" s="4">
        <v>0</v>
      </c>
      <c r="E177" s="304">
        <v>0</v>
      </c>
      <c r="F177" s="304">
        <v>0</v>
      </c>
      <c r="G177" s="4">
        <v>0</v>
      </c>
      <c r="H177" s="4">
        <v>0</v>
      </c>
    </row>
    <row r="178" spans="2:8" ht="12" customHeight="1" outlineLevel="2">
      <c r="B178" s="3" t="s">
        <v>299</v>
      </c>
      <c r="C178" s="3" t="s">
        <v>282</v>
      </c>
      <c r="D178" s="4">
        <v>0</v>
      </c>
      <c r="E178" s="304">
        <v>0</v>
      </c>
      <c r="F178" s="304">
        <v>0</v>
      </c>
      <c r="G178" s="4">
        <v>0</v>
      </c>
      <c r="H178" s="4">
        <v>0</v>
      </c>
    </row>
    <row r="179" spans="2:8" ht="12" customHeight="1" outlineLevel="2">
      <c r="B179" s="3" t="s">
        <v>300</v>
      </c>
      <c r="C179" s="3" t="s">
        <v>301</v>
      </c>
      <c r="D179" s="4">
        <v>0</v>
      </c>
      <c r="E179" s="304">
        <v>0</v>
      </c>
      <c r="F179" s="304">
        <v>0</v>
      </c>
      <c r="G179" s="4">
        <v>0</v>
      </c>
      <c r="H179" s="4">
        <v>0</v>
      </c>
    </row>
    <row r="180" spans="2:7" ht="12" customHeight="1" outlineLevel="2">
      <c r="B180" s="3" t="s">
        <v>797</v>
      </c>
      <c r="C180" s="3"/>
      <c r="E180" s="304">
        <f>SUM(E105:E179)</f>
        <v>0</v>
      </c>
      <c r="F180" s="304">
        <v>0</v>
      </c>
      <c r="G180" s="4">
        <v>0</v>
      </c>
    </row>
    <row r="181" spans="2:3" ht="12" customHeight="1" outlineLevel="2">
      <c r="B181" s="3"/>
      <c r="C181" s="3"/>
    </row>
    <row r="182" spans="2:9" ht="12" customHeight="1" outlineLevel="2">
      <c r="B182" s="1" t="s">
        <v>780</v>
      </c>
      <c r="C182" s="3"/>
      <c r="D182" s="4" t="s">
        <v>2</v>
      </c>
      <c r="E182" s="304" t="s">
        <v>3</v>
      </c>
      <c r="F182" s="304" t="s">
        <v>3</v>
      </c>
      <c r="G182" s="4" t="s">
        <v>3</v>
      </c>
      <c r="H182" s="4" t="s">
        <v>4</v>
      </c>
      <c r="I182" s="309">
        <v>0.05</v>
      </c>
    </row>
    <row r="183" spans="2:8" ht="12" customHeight="1" outlineLevel="2">
      <c r="B183" s="3" t="s">
        <v>302</v>
      </c>
      <c r="C183" s="3" t="s">
        <v>303</v>
      </c>
      <c r="D183" s="4">
        <v>0</v>
      </c>
      <c r="H183" s="4">
        <v>0</v>
      </c>
    </row>
    <row r="184" spans="2:9" ht="12" customHeight="1" outlineLevel="2">
      <c r="B184" s="3" t="s">
        <v>304</v>
      </c>
      <c r="C184" s="3" t="s">
        <v>305</v>
      </c>
      <c r="D184" s="4">
        <v>9000</v>
      </c>
      <c r="H184" s="4">
        <v>10800</v>
      </c>
      <c r="I184" s="309">
        <v>12000</v>
      </c>
    </row>
    <row r="185" spans="2:8" ht="12" customHeight="1" outlineLevel="2">
      <c r="B185" s="3" t="s">
        <v>306</v>
      </c>
      <c r="C185" s="3" t="s">
        <v>307</v>
      </c>
      <c r="D185" s="4">
        <v>0</v>
      </c>
      <c r="H185" s="4">
        <v>0</v>
      </c>
    </row>
    <row r="186" spans="2:9" ht="12" customHeight="1" outlineLevel="2">
      <c r="B186" s="3" t="s">
        <v>308</v>
      </c>
      <c r="C186" s="3" t="s">
        <v>309</v>
      </c>
      <c r="D186" s="4">
        <v>558</v>
      </c>
      <c r="H186" s="4">
        <v>669.6</v>
      </c>
      <c r="I186" s="309">
        <f>H186*0.05+H186</f>
        <v>703.08</v>
      </c>
    </row>
    <row r="187" spans="2:8" ht="12" customHeight="1" outlineLevel="2">
      <c r="B187" s="3" t="s">
        <v>310</v>
      </c>
      <c r="C187" s="3" t="s">
        <v>311</v>
      </c>
      <c r="D187" s="4">
        <v>130.5</v>
      </c>
      <c r="H187" s="4">
        <v>156.6</v>
      </c>
    </row>
    <row r="188" spans="1:7" ht="12" customHeight="1" outlineLevel="2">
      <c r="A188" s="1" t="s">
        <v>780</v>
      </c>
      <c r="B188" s="3" t="s">
        <v>798</v>
      </c>
      <c r="C188" s="3"/>
      <c r="E188" s="304">
        <f>J757</f>
        <v>12918</v>
      </c>
      <c r="F188" s="304">
        <v>12918</v>
      </c>
      <c r="G188" s="4">
        <v>12744</v>
      </c>
    </row>
    <row r="189" spans="2:9" ht="12" customHeight="1" outlineLevel="2">
      <c r="B189" s="3"/>
      <c r="C189" s="3"/>
      <c r="I189" s="375"/>
    </row>
    <row r="190" spans="2:8" ht="12" customHeight="1" outlineLevel="2">
      <c r="B190" s="3" t="s">
        <v>312</v>
      </c>
      <c r="C190" s="3" t="s">
        <v>313</v>
      </c>
      <c r="D190" s="4">
        <v>0</v>
      </c>
      <c r="E190" s="304">
        <v>0</v>
      </c>
      <c r="F190" s="304">
        <v>0</v>
      </c>
      <c r="G190" s="4">
        <v>0</v>
      </c>
      <c r="H190" s="4">
        <v>0</v>
      </c>
    </row>
    <row r="191" spans="2:8" ht="12" customHeight="1" outlineLevel="2">
      <c r="B191" s="3" t="s">
        <v>314</v>
      </c>
      <c r="C191" s="3" t="s">
        <v>315</v>
      </c>
      <c r="D191" s="4">
        <v>0</v>
      </c>
      <c r="E191" s="304">
        <v>0</v>
      </c>
      <c r="F191" s="304">
        <v>0</v>
      </c>
      <c r="G191" s="4">
        <v>0</v>
      </c>
      <c r="H191" s="4">
        <v>0</v>
      </c>
    </row>
    <row r="192" spans="2:8" ht="12" customHeight="1" outlineLevel="2">
      <c r="B192" s="3" t="s">
        <v>316</v>
      </c>
      <c r="C192" s="3" t="s">
        <v>317</v>
      </c>
      <c r="D192" s="4">
        <v>0</v>
      </c>
      <c r="E192" s="304">
        <v>0</v>
      </c>
      <c r="F192" s="304">
        <v>0</v>
      </c>
      <c r="G192" s="4">
        <v>0</v>
      </c>
      <c r="H192" s="4">
        <v>0</v>
      </c>
    </row>
    <row r="193" spans="2:8" ht="12" customHeight="1" outlineLevel="2">
      <c r="B193" s="3" t="s">
        <v>318</v>
      </c>
      <c r="C193" s="3" t="s">
        <v>319</v>
      </c>
      <c r="D193" s="4">
        <v>0</v>
      </c>
      <c r="E193" s="304">
        <v>0</v>
      </c>
      <c r="F193" s="304">
        <v>0</v>
      </c>
      <c r="G193" s="4">
        <v>0</v>
      </c>
      <c r="H193" s="4">
        <v>0</v>
      </c>
    </row>
    <row r="194" spans="2:9" ht="12" customHeight="1" outlineLevel="2">
      <c r="B194" s="3" t="s">
        <v>320</v>
      </c>
      <c r="C194" s="3" t="s">
        <v>321</v>
      </c>
      <c r="D194" s="4">
        <v>1494</v>
      </c>
      <c r="E194" s="304">
        <v>1800</v>
      </c>
      <c r="F194" s="60">
        <v>1800</v>
      </c>
      <c r="G194" s="4">
        <v>1800</v>
      </c>
      <c r="H194" s="4">
        <v>1792.8</v>
      </c>
      <c r="I194" s="309">
        <v>2500</v>
      </c>
    </row>
    <row r="195" spans="2:9" ht="12" customHeight="1" outlineLevel="2">
      <c r="B195" s="3" t="s">
        <v>322</v>
      </c>
      <c r="C195" s="3" t="s">
        <v>323</v>
      </c>
      <c r="D195" s="4">
        <v>1930.48</v>
      </c>
      <c r="E195" s="304">
        <v>2400</v>
      </c>
      <c r="F195" s="60">
        <v>2400</v>
      </c>
      <c r="G195" s="4">
        <v>2317</v>
      </c>
      <c r="H195" s="4">
        <v>2316.58</v>
      </c>
      <c r="I195" s="309">
        <f>H195*0.05+H195</f>
        <v>2432.409</v>
      </c>
    </row>
    <row r="196" spans="1:11" s="244" customFormat="1" ht="12" customHeight="1" outlineLevel="2">
      <c r="A196" s="473"/>
      <c r="B196" s="242" t="s">
        <v>324</v>
      </c>
      <c r="C196" s="242" t="s">
        <v>298</v>
      </c>
      <c r="D196" s="243">
        <v>12933.31</v>
      </c>
      <c r="E196" s="304">
        <f>'Work Sheet'!C65</f>
        <v>0</v>
      </c>
      <c r="F196" s="304">
        <v>0</v>
      </c>
      <c r="G196" s="243">
        <v>15000</v>
      </c>
      <c r="H196" s="243">
        <v>15519.97</v>
      </c>
      <c r="I196" s="474">
        <f>H196*0.05+H196</f>
        <v>16295.968499999999</v>
      </c>
      <c r="J196" s="473"/>
      <c r="K196" s="473"/>
    </row>
    <row r="197" spans="1:11" s="30" customFormat="1" ht="12" customHeight="1" outlineLevel="2">
      <c r="A197" s="207"/>
      <c r="B197" s="206" t="s">
        <v>325</v>
      </c>
      <c r="C197" s="206" t="s">
        <v>224</v>
      </c>
      <c r="D197" s="60">
        <v>21962.23</v>
      </c>
      <c r="E197" s="304">
        <f>'Work Sheet'!B63</f>
        <v>18675</v>
      </c>
      <c r="F197" s="304">
        <v>18175</v>
      </c>
      <c r="G197" s="60">
        <v>2078</v>
      </c>
      <c r="H197" s="60">
        <v>26354.68</v>
      </c>
      <c r="I197" s="375">
        <f>H197+H198</f>
        <v>64116.96</v>
      </c>
      <c r="J197" s="207"/>
      <c r="K197" s="207"/>
    </row>
    <row r="198" spans="2:8" ht="12" customHeight="1" outlineLevel="2">
      <c r="B198" s="3" t="s">
        <v>326</v>
      </c>
      <c r="C198" s="3" t="s">
        <v>183</v>
      </c>
      <c r="D198" s="4">
        <v>31468.57</v>
      </c>
      <c r="E198" s="304">
        <v>0</v>
      </c>
      <c r="F198" s="60">
        <v>0</v>
      </c>
      <c r="H198" s="4">
        <v>37762.28</v>
      </c>
    </row>
    <row r="199" spans="2:8" ht="12" customHeight="1" outlineLevel="2">
      <c r="B199" s="3" t="s">
        <v>327</v>
      </c>
      <c r="C199" s="3" t="s">
        <v>229</v>
      </c>
      <c r="D199" s="4">
        <v>300</v>
      </c>
      <c r="E199" s="304">
        <v>0</v>
      </c>
      <c r="F199" s="60">
        <v>0</v>
      </c>
      <c r="G199" s="4">
        <v>300</v>
      </c>
      <c r="H199" s="4">
        <v>360</v>
      </c>
    </row>
    <row r="200" spans="2:8" ht="12" customHeight="1" outlineLevel="2">
      <c r="B200" s="3" t="s">
        <v>328</v>
      </c>
      <c r="C200" s="3" t="s">
        <v>205</v>
      </c>
      <c r="D200" s="4">
        <v>0</v>
      </c>
      <c r="E200" s="304">
        <v>0</v>
      </c>
      <c r="F200" s="304">
        <v>0</v>
      </c>
      <c r="G200" s="4">
        <v>0</v>
      </c>
      <c r="H200" s="4">
        <v>0</v>
      </c>
    </row>
    <row r="201" spans="2:8" ht="12" customHeight="1" outlineLevel="2">
      <c r="B201" s="3" t="s">
        <v>329</v>
      </c>
      <c r="C201" s="3" t="s">
        <v>189</v>
      </c>
      <c r="D201" s="4">
        <v>2694</v>
      </c>
      <c r="E201" s="304">
        <v>2000</v>
      </c>
      <c r="F201" s="60">
        <v>2000</v>
      </c>
      <c r="G201" s="4">
        <v>3233</v>
      </c>
      <c r="H201" s="4">
        <v>3232.8</v>
      </c>
    </row>
    <row r="202" spans="2:8" ht="12" customHeight="1" outlineLevel="2">
      <c r="B202" s="3" t="s">
        <v>330</v>
      </c>
      <c r="C202" s="3" t="s">
        <v>209</v>
      </c>
      <c r="D202" s="4">
        <v>0</v>
      </c>
      <c r="E202" s="304">
        <v>0</v>
      </c>
      <c r="F202" s="304">
        <v>0</v>
      </c>
      <c r="G202" s="4">
        <v>0</v>
      </c>
      <c r="H202" s="4">
        <v>0</v>
      </c>
    </row>
    <row r="203" spans="2:8" ht="12" customHeight="1" outlineLevel="2">
      <c r="B203" s="3" t="s">
        <v>331</v>
      </c>
      <c r="C203" s="3" t="s">
        <v>242</v>
      </c>
      <c r="D203" s="4">
        <v>1067.05</v>
      </c>
      <c r="E203" s="304">
        <v>0</v>
      </c>
      <c r="F203" s="60">
        <v>0</v>
      </c>
      <c r="G203" s="4">
        <v>1280</v>
      </c>
      <c r="H203" s="4">
        <v>1280.46</v>
      </c>
    </row>
    <row r="204" spans="2:8" ht="12" customHeight="1" outlineLevel="2">
      <c r="B204" s="3" t="s">
        <v>332</v>
      </c>
      <c r="C204" s="3" t="s">
        <v>333</v>
      </c>
      <c r="D204" s="4">
        <v>1606.34</v>
      </c>
      <c r="E204" s="304">
        <v>0</v>
      </c>
      <c r="F204" s="304">
        <v>0</v>
      </c>
      <c r="G204" s="4">
        <v>0</v>
      </c>
      <c r="H204" s="4">
        <v>1927.61</v>
      </c>
    </row>
    <row r="205" spans="2:9" ht="12" customHeight="1" outlineLevel="2">
      <c r="B205" s="3" t="s">
        <v>334</v>
      </c>
      <c r="C205" s="3" t="s">
        <v>335</v>
      </c>
      <c r="D205" s="4">
        <v>397.45</v>
      </c>
      <c r="E205" s="304">
        <v>340</v>
      </c>
      <c r="F205" s="304">
        <v>340</v>
      </c>
      <c r="G205" s="4">
        <v>340</v>
      </c>
      <c r="H205" s="4">
        <v>476.94</v>
      </c>
      <c r="I205" s="309" t="s">
        <v>1144</v>
      </c>
    </row>
    <row r="206" spans="2:8" ht="12" customHeight="1" outlineLevel="2">
      <c r="B206" s="3" t="s">
        <v>336</v>
      </c>
      <c r="C206" s="3" t="s">
        <v>265</v>
      </c>
      <c r="D206" s="4">
        <v>0</v>
      </c>
      <c r="E206" s="304">
        <v>0</v>
      </c>
      <c r="F206" s="304">
        <v>0</v>
      </c>
      <c r="G206" s="4">
        <v>0</v>
      </c>
      <c r="H206" s="4">
        <v>0</v>
      </c>
    </row>
    <row r="207" spans="2:8" ht="12" customHeight="1" outlineLevel="2">
      <c r="B207" s="3" t="s">
        <v>337</v>
      </c>
      <c r="C207" s="3" t="s">
        <v>338</v>
      </c>
      <c r="D207" s="4">
        <v>0</v>
      </c>
      <c r="E207" s="304">
        <v>0</v>
      </c>
      <c r="F207" s="304">
        <v>0</v>
      </c>
      <c r="G207" s="4">
        <v>0</v>
      </c>
      <c r="H207" s="4">
        <v>0</v>
      </c>
    </row>
    <row r="208" spans="5:7" ht="12.75">
      <c r="E208" s="304">
        <f>SUM(E190:E207)</f>
        <v>25215</v>
      </c>
      <c r="F208" s="304">
        <v>24715</v>
      </c>
      <c r="G208" s="4">
        <v>26348</v>
      </c>
    </row>
    <row r="209" spans="1:7" ht="15" customHeight="1" outlineLevel="2">
      <c r="A209" s="1"/>
      <c r="B209" s="3" t="s">
        <v>795</v>
      </c>
      <c r="C209" s="3"/>
      <c r="E209" s="304">
        <f>SUM(E188:E207)</f>
        <v>38133</v>
      </c>
      <c r="F209" s="304">
        <v>37633</v>
      </c>
      <c r="G209" s="4">
        <v>39092</v>
      </c>
    </row>
    <row r="210" spans="2:3" ht="21.75" customHeight="1" outlineLevel="2">
      <c r="B210" s="3"/>
      <c r="C210" s="3"/>
    </row>
    <row r="211" spans="2:9" ht="21.75" customHeight="1" outlineLevel="2">
      <c r="B211" s="1" t="s">
        <v>781</v>
      </c>
      <c r="C211" s="3"/>
      <c r="D211" s="4" t="s">
        <v>2</v>
      </c>
      <c r="E211" s="304" t="s">
        <v>3</v>
      </c>
      <c r="F211" s="304" t="s">
        <v>3</v>
      </c>
      <c r="G211" s="4" t="s">
        <v>3</v>
      </c>
      <c r="H211" s="4" t="s">
        <v>4</v>
      </c>
      <c r="I211" s="309">
        <v>0.05</v>
      </c>
    </row>
    <row r="212" spans="2:8" ht="12" customHeight="1" outlineLevel="2">
      <c r="B212" s="3" t="s">
        <v>341</v>
      </c>
      <c r="C212" s="3" t="s">
        <v>305</v>
      </c>
      <c r="D212" s="4">
        <v>113899.91</v>
      </c>
      <c r="H212" s="4">
        <v>136679.89</v>
      </c>
    </row>
    <row r="213" spans="2:8" ht="12" customHeight="1" outlineLevel="2">
      <c r="B213" s="3" t="s">
        <v>342</v>
      </c>
      <c r="C213" s="3" t="s">
        <v>307</v>
      </c>
      <c r="D213" s="4">
        <v>612</v>
      </c>
      <c r="H213" s="4">
        <v>734.4</v>
      </c>
    </row>
    <row r="214" spans="2:8" ht="12" customHeight="1" outlineLevel="2">
      <c r="B214" s="3" t="s">
        <v>343</v>
      </c>
      <c r="C214" s="3" t="s">
        <v>344</v>
      </c>
      <c r="D214" s="4">
        <v>1382.36</v>
      </c>
      <c r="H214" s="4">
        <v>1658.83</v>
      </c>
    </row>
    <row r="215" spans="2:8" ht="12" customHeight="1" outlineLevel="2">
      <c r="B215" s="3" t="s">
        <v>345</v>
      </c>
      <c r="C215" s="3" t="s">
        <v>346</v>
      </c>
      <c r="D215" s="4">
        <v>0</v>
      </c>
      <c r="H215" s="4">
        <v>0</v>
      </c>
    </row>
    <row r="216" spans="2:8" ht="12" customHeight="1" outlineLevel="2">
      <c r="B216" s="3" t="s">
        <v>347</v>
      </c>
      <c r="C216" s="3" t="s">
        <v>309</v>
      </c>
      <c r="D216" s="4">
        <v>7016.46</v>
      </c>
      <c r="H216" s="4">
        <v>8419.75</v>
      </c>
    </row>
    <row r="217" spans="2:8" ht="12" customHeight="1" outlineLevel="2">
      <c r="B217" s="3" t="s">
        <v>348</v>
      </c>
      <c r="C217" s="3" t="s">
        <v>311</v>
      </c>
      <c r="D217" s="4">
        <v>1640.96</v>
      </c>
      <c r="H217" s="4">
        <v>1969.15</v>
      </c>
    </row>
    <row r="218" spans="2:8" ht="12" customHeight="1" outlineLevel="2">
      <c r="B218" s="3" t="s">
        <v>349</v>
      </c>
      <c r="C218" s="3" t="s">
        <v>313</v>
      </c>
      <c r="D218" s="4">
        <v>9985.1</v>
      </c>
      <c r="H218" s="4">
        <v>11982.12</v>
      </c>
    </row>
    <row r="219" spans="2:8" ht="12" customHeight="1" outlineLevel="2">
      <c r="B219" s="3" t="s">
        <v>350</v>
      </c>
      <c r="C219" s="3" t="s">
        <v>315</v>
      </c>
      <c r="D219" s="4">
        <v>13443.12</v>
      </c>
      <c r="H219" s="4">
        <v>16131.74</v>
      </c>
    </row>
    <row r="220" spans="2:8" ht="12" customHeight="1" outlineLevel="2">
      <c r="B220" s="3" t="s">
        <v>351</v>
      </c>
      <c r="C220" s="3" t="s">
        <v>317</v>
      </c>
      <c r="D220" s="4">
        <v>0</v>
      </c>
      <c r="H220" s="4">
        <v>0</v>
      </c>
    </row>
    <row r="221" spans="2:8" ht="12" customHeight="1" outlineLevel="2">
      <c r="B221" s="3" t="s">
        <v>352</v>
      </c>
      <c r="C221" s="3" t="s">
        <v>353</v>
      </c>
      <c r="D221" s="4">
        <v>96.12</v>
      </c>
      <c r="E221" s="211"/>
      <c r="F221" s="211"/>
      <c r="G221" s="59"/>
      <c r="H221" s="4">
        <v>115.34</v>
      </c>
    </row>
    <row r="222" spans="1:7" ht="12" customHeight="1" outlineLevel="2">
      <c r="A222" s="1" t="s">
        <v>781</v>
      </c>
      <c r="B222" s="3" t="s">
        <v>798</v>
      </c>
      <c r="C222" s="3"/>
      <c r="E222" s="304">
        <f>J749</f>
        <v>138071.49960972427</v>
      </c>
      <c r="F222" s="304">
        <v>138071.49960972427</v>
      </c>
      <c r="G222" s="4">
        <v>131739.00344498</v>
      </c>
    </row>
    <row r="223" spans="2:3" ht="12" customHeight="1" outlineLevel="2">
      <c r="B223" s="3"/>
      <c r="C223" s="3"/>
    </row>
    <row r="224" spans="2:8" ht="12" customHeight="1" outlineLevel="2">
      <c r="B224" s="3" t="s">
        <v>354</v>
      </c>
      <c r="C224" s="3" t="s">
        <v>319</v>
      </c>
      <c r="D224" s="4">
        <v>25.8</v>
      </c>
      <c r="E224" s="304">
        <v>27</v>
      </c>
      <c r="F224" s="304">
        <v>27</v>
      </c>
      <c r="G224" s="4">
        <v>27</v>
      </c>
      <c r="H224" s="4">
        <v>30.96</v>
      </c>
    </row>
    <row r="225" spans="2:8" ht="12" customHeight="1" outlineLevel="2">
      <c r="B225" s="3" t="s">
        <v>355</v>
      </c>
      <c r="C225" s="3" t="s">
        <v>321</v>
      </c>
      <c r="D225" s="4">
        <v>1607.52</v>
      </c>
      <c r="E225" s="304">
        <v>2000</v>
      </c>
      <c r="F225" s="304">
        <v>2000</v>
      </c>
      <c r="G225" s="4">
        <v>2000</v>
      </c>
      <c r="H225" s="4">
        <v>1929.02</v>
      </c>
    </row>
    <row r="226" spans="2:8" ht="12" customHeight="1" outlineLevel="2">
      <c r="B226" s="3" t="s">
        <v>356</v>
      </c>
      <c r="C226" s="3" t="s">
        <v>323</v>
      </c>
      <c r="D226" s="4">
        <v>874.62</v>
      </c>
      <c r="E226" s="304">
        <v>1000</v>
      </c>
      <c r="F226" s="304">
        <v>1000</v>
      </c>
      <c r="G226" s="4">
        <v>1000</v>
      </c>
      <c r="H226" s="4">
        <v>1049.54</v>
      </c>
    </row>
    <row r="227" spans="2:8" ht="12" customHeight="1" outlineLevel="2">
      <c r="B227" s="3" t="s">
        <v>357</v>
      </c>
      <c r="C227" s="3" t="s">
        <v>358</v>
      </c>
      <c r="D227" s="4">
        <v>0</v>
      </c>
      <c r="E227" s="304">
        <v>0</v>
      </c>
      <c r="F227" s="304">
        <v>0</v>
      </c>
      <c r="G227" s="4">
        <v>0</v>
      </c>
      <c r="H227" s="4">
        <v>0</v>
      </c>
    </row>
    <row r="228" spans="2:9" ht="12" customHeight="1" outlineLevel="2">
      <c r="B228" s="3" t="s">
        <v>359</v>
      </c>
      <c r="C228" s="3" t="s">
        <v>200</v>
      </c>
      <c r="D228" s="4">
        <v>4760.03</v>
      </c>
      <c r="E228" s="304">
        <f>5712+3300</f>
        <v>9012</v>
      </c>
      <c r="F228" s="60">
        <v>9012</v>
      </c>
      <c r="G228" s="4">
        <v>5712</v>
      </c>
      <c r="H228" s="4">
        <v>5712.04</v>
      </c>
      <c r="I228" s="309" t="s">
        <v>1145</v>
      </c>
    </row>
    <row r="229" spans="2:8" ht="12" customHeight="1" outlineLevel="2">
      <c r="B229" s="3" t="s">
        <v>360</v>
      </c>
      <c r="C229" s="3" t="s">
        <v>214</v>
      </c>
      <c r="D229" s="4">
        <v>95.3</v>
      </c>
      <c r="E229" s="304">
        <v>0</v>
      </c>
      <c r="F229" s="304">
        <v>0</v>
      </c>
      <c r="G229" s="4">
        <v>0</v>
      </c>
      <c r="H229" s="4">
        <v>114.36</v>
      </c>
    </row>
    <row r="230" spans="2:8" ht="13.5" customHeight="1" outlineLevel="2">
      <c r="B230" s="3" t="s">
        <v>361</v>
      </c>
      <c r="C230" s="3" t="s">
        <v>216</v>
      </c>
      <c r="D230" s="4">
        <v>0</v>
      </c>
      <c r="H230" s="4">
        <v>0</v>
      </c>
    </row>
    <row r="231" spans="2:8" ht="12" customHeight="1" outlineLevel="2">
      <c r="B231" s="3" t="s">
        <v>362</v>
      </c>
      <c r="C231" s="3" t="s">
        <v>218</v>
      </c>
      <c r="D231" s="4">
        <v>81</v>
      </c>
      <c r="E231" s="304">
        <v>0</v>
      </c>
      <c r="F231" s="304">
        <v>0</v>
      </c>
      <c r="G231" s="4">
        <v>0</v>
      </c>
      <c r="H231" s="4">
        <v>97.2</v>
      </c>
    </row>
    <row r="232" spans="2:8" ht="21.75" customHeight="1" outlineLevel="2">
      <c r="B232" s="3" t="s">
        <v>363</v>
      </c>
      <c r="C232" s="3" t="s">
        <v>220</v>
      </c>
      <c r="D232" s="4">
        <v>0</v>
      </c>
      <c r="E232" s="304">
        <v>0</v>
      </c>
      <c r="F232" s="304">
        <v>0</v>
      </c>
      <c r="G232" s="4">
        <v>0</v>
      </c>
      <c r="H232" s="4">
        <v>0</v>
      </c>
    </row>
    <row r="233" spans="2:8" ht="12" customHeight="1" outlineLevel="2">
      <c r="B233" s="3" t="s">
        <v>364</v>
      </c>
      <c r="C233" s="3" t="s">
        <v>296</v>
      </c>
      <c r="D233" s="4">
        <v>12076.87</v>
      </c>
      <c r="E233" s="304">
        <f>19024</f>
        <v>19024</v>
      </c>
      <c r="F233" s="304">
        <v>19024</v>
      </c>
      <c r="G233" s="4">
        <v>19024</v>
      </c>
      <c r="H233" s="4">
        <v>14492.24</v>
      </c>
    </row>
    <row r="234" spans="2:8" ht="21.75" customHeight="1" outlineLevel="2">
      <c r="B234" s="3" t="s">
        <v>365</v>
      </c>
      <c r="C234" s="3" t="s">
        <v>222</v>
      </c>
      <c r="D234" s="4">
        <v>0</v>
      </c>
      <c r="E234" s="304">
        <v>0</v>
      </c>
      <c r="F234" s="304">
        <v>0</v>
      </c>
      <c r="G234" s="4">
        <v>0</v>
      </c>
      <c r="H234" s="4">
        <v>0</v>
      </c>
    </row>
    <row r="235" spans="1:11" s="244" customFormat="1" ht="12" customHeight="1" outlineLevel="2">
      <c r="A235" s="473"/>
      <c r="B235" s="242" t="s">
        <v>366</v>
      </c>
      <c r="C235" s="242" t="s">
        <v>298</v>
      </c>
      <c r="D235" s="243">
        <v>55337.09</v>
      </c>
      <c r="E235" s="304">
        <f>'Work Sheet'!C66</f>
        <v>45000</v>
      </c>
      <c r="F235" s="243">
        <v>45000</v>
      </c>
      <c r="G235" s="243">
        <v>65400</v>
      </c>
      <c r="H235" s="243">
        <v>66404.51</v>
      </c>
      <c r="I235" s="474"/>
      <c r="J235" s="473"/>
      <c r="K235" s="473"/>
    </row>
    <row r="236" spans="2:9" ht="12" customHeight="1" outlineLevel="2">
      <c r="B236" s="3" t="s">
        <v>367</v>
      </c>
      <c r="C236" s="3" t="s">
        <v>224</v>
      </c>
      <c r="D236" s="4">
        <v>1502.05</v>
      </c>
      <c r="E236" s="304">
        <v>0</v>
      </c>
      <c r="F236" s="304">
        <v>0</v>
      </c>
      <c r="G236" s="4">
        <v>0</v>
      </c>
      <c r="H236" s="4">
        <v>1802.46</v>
      </c>
      <c r="I236" s="2" t="s">
        <v>1065</v>
      </c>
    </row>
    <row r="237" spans="2:8" ht="12" customHeight="1" outlineLevel="2">
      <c r="B237" s="3" t="s">
        <v>368</v>
      </c>
      <c r="C237" s="3" t="s">
        <v>369</v>
      </c>
      <c r="D237" s="4">
        <v>0</v>
      </c>
      <c r="E237" s="304">
        <v>0</v>
      </c>
      <c r="F237" s="304">
        <v>0</v>
      </c>
      <c r="G237" s="4">
        <v>0</v>
      </c>
      <c r="H237" s="4">
        <v>0</v>
      </c>
    </row>
    <row r="238" spans="2:9" ht="12" customHeight="1" outlineLevel="2">
      <c r="B238" s="3" t="s">
        <v>370</v>
      </c>
      <c r="C238" s="3" t="s">
        <v>183</v>
      </c>
      <c r="D238" s="4">
        <v>12482.72</v>
      </c>
      <c r="E238" s="304">
        <v>25000</v>
      </c>
      <c r="F238" s="60">
        <v>25000</v>
      </c>
      <c r="G238" s="4">
        <v>15000</v>
      </c>
      <c r="H238" s="4">
        <v>14979.26</v>
      </c>
      <c r="I238" s="61" t="s">
        <v>1174</v>
      </c>
    </row>
    <row r="239" spans="2:8" ht="21.75" customHeight="1" outlineLevel="2">
      <c r="B239" s="3" t="s">
        <v>371</v>
      </c>
      <c r="C239" s="3" t="s">
        <v>86</v>
      </c>
      <c r="D239" s="4">
        <v>0</v>
      </c>
      <c r="E239" s="304">
        <v>0</v>
      </c>
      <c r="F239" s="304">
        <v>0</v>
      </c>
      <c r="G239" s="4">
        <v>0</v>
      </c>
      <c r="H239" s="4">
        <v>0</v>
      </c>
    </row>
    <row r="240" spans="2:8" ht="12" customHeight="1" outlineLevel="2">
      <c r="B240" s="3" t="s">
        <v>372</v>
      </c>
      <c r="C240" s="3" t="s">
        <v>88</v>
      </c>
      <c r="D240" s="4">
        <v>0</v>
      </c>
      <c r="E240" s="304">
        <v>0</v>
      </c>
      <c r="F240" s="304">
        <v>0</v>
      </c>
      <c r="G240" s="4">
        <v>0</v>
      </c>
      <c r="H240" s="4">
        <v>0</v>
      </c>
    </row>
    <row r="241" spans="2:8" ht="12" customHeight="1" outlineLevel="2">
      <c r="B241" s="3" t="s">
        <v>373</v>
      </c>
      <c r="C241" s="3" t="s">
        <v>229</v>
      </c>
      <c r="D241" s="4">
        <v>3944.76</v>
      </c>
      <c r="E241" s="304">
        <v>5000</v>
      </c>
      <c r="F241" s="304">
        <v>5000</v>
      </c>
      <c r="G241" s="4">
        <v>5000</v>
      </c>
      <c r="H241" s="4">
        <v>4733.71</v>
      </c>
    </row>
    <row r="242" spans="1:11" s="377" customFormat="1" ht="12" customHeight="1" outlineLevel="2">
      <c r="A242" s="207"/>
      <c r="B242" s="206"/>
      <c r="C242" s="206"/>
      <c r="D242" s="60"/>
      <c r="E242" s="304">
        <v>-2250</v>
      </c>
      <c r="F242" s="60">
        <v>-2250</v>
      </c>
      <c r="G242" s="60"/>
      <c r="H242" s="60"/>
      <c r="I242" s="375"/>
      <c r="J242" s="207"/>
      <c r="K242" s="207"/>
    </row>
    <row r="243" spans="2:8" ht="12" customHeight="1" outlineLevel="2">
      <c r="B243" s="3" t="s">
        <v>374</v>
      </c>
      <c r="C243" s="3" t="s">
        <v>191</v>
      </c>
      <c r="D243" s="4">
        <v>395.9</v>
      </c>
      <c r="E243" s="304">
        <v>400</v>
      </c>
      <c r="F243" s="304">
        <v>400</v>
      </c>
      <c r="G243" s="4">
        <v>400</v>
      </c>
      <c r="H243" s="4">
        <v>475.08</v>
      </c>
    </row>
    <row r="244" spans="2:8" ht="12" customHeight="1" outlineLevel="2">
      <c r="B244" s="3" t="s">
        <v>375</v>
      </c>
      <c r="C244" s="3" t="s">
        <v>235</v>
      </c>
      <c r="D244" s="4">
        <v>0</v>
      </c>
      <c r="E244" s="304">
        <v>0</v>
      </c>
      <c r="F244" s="60">
        <v>0</v>
      </c>
      <c r="G244" s="4">
        <v>115</v>
      </c>
      <c r="H244" s="4">
        <v>0</v>
      </c>
    </row>
    <row r="245" spans="2:8" ht="12" customHeight="1" outlineLevel="2">
      <c r="B245" s="3" t="s">
        <v>376</v>
      </c>
      <c r="C245" s="3" t="s">
        <v>237</v>
      </c>
      <c r="D245" s="4">
        <v>0</v>
      </c>
      <c r="E245" s="304">
        <v>0</v>
      </c>
      <c r="F245" s="60">
        <v>0</v>
      </c>
      <c r="G245" s="4">
        <v>200</v>
      </c>
      <c r="H245" s="4">
        <v>0</v>
      </c>
    </row>
    <row r="246" spans="2:8" ht="12" customHeight="1" outlineLevel="2">
      <c r="B246" s="3" t="s">
        <v>377</v>
      </c>
      <c r="C246" s="3" t="s">
        <v>205</v>
      </c>
      <c r="D246" s="4">
        <v>5136.04</v>
      </c>
      <c r="E246" s="304">
        <v>5000</v>
      </c>
      <c r="F246" s="60">
        <v>5000</v>
      </c>
      <c r="G246" s="4">
        <v>5000</v>
      </c>
      <c r="H246" s="4">
        <v>6163.25</v>
      </c>
    </row>
    <row r="247" spans="2:8" ht="12" customHeight="1" outlineLevel="2">
      <c r="B247" s="3" t="s">
        <v>378</v>
      </c>
      <c r="C247" s="3" t="s">
        <v>379</v>
      </c>
      <c r="D247" s="4">
        <v>0</v>
      </c>
      <c r="E247" s="304">
        <v>0</v>
      </c>
      <c r="F247" s="304">
        <v>0</v>
      </c>
      <c r="G247" s="4">
        <v>0</v>
      </c>
      <c r="H247" s="4">
        <v>0</v>
      </c>
    </row>
    <row r="248" spans="2:8" ht="12" customHeight="1" outlineLevel="2">
      <c r="B248" s="3" t="s">
        <v>380</v>
      </c>
      <c r="C248" s="3" t="s">
        <v>381</v>
      </c>
      <c r="D248" s="4">
        <v>0</v>
      </c>
      <c r="E248" s="304">
        <v>0</v>
      </c>
      <c r="F248" s="60">
        <v>0</v>
      </c>
      <c r="G248" s="4">
        <v>409</v>
      </c>
      <c r="H248" s="4">
        <v>0</v>
      </c>
    </row>
    <row r="249" spans="2:8" ht="12" customHeight="1" outlineLevel="2">
      <c r="B249" s="3" t="s">
        <v>382</v>
      </c>
      <c r="C249" s="3" t="s">
        <v>189</v>
      </c>
      <c r="D249" s="4">
        <v>2347</v>
      </c>
      <c r="E249" s="304">
        <v>2800</v>
      </c>
      <c r="F249" s="304">
        <v>2800</v>
      </c>
      <c r="G249" s="4">
        <v>2800</v>
      </c>
      <c r="H249" s="4">
        <v>2816.4</v>
      </c>
    </row>
    <row r="250" spans="1:11" s="30" customFormat="1" ht="12" customHeight="1" outlineLevel="2">
      <c r="A250" s="207"/>
      <c r="B250" s="206" t="s">
        <v>383</v>
      </c>
      <c r="C250" s="206" t="s">
        <v>209</v>
      </c>
      <c r="D250" s="60">
        <v>60039.15</v>
      </c>
      <c r="E250" s="60">
        <f>72000+3156</f>
        <v>75156</v>
      </c>
      <c r="F250" s="304">
        <v>72000</v>
      </c>
      <c r="G250" s="60">
        <v>72000</v>
      </c>
      <c r="H250" s="60">
        <v>72046.98</v>
      </c>
      <c r="I250" s="375" t="s">
        <v>1402</v>
      </c>
      <c r="J250" s="207"/>
      <c r="K250" s="207"/>
    </row>
    <row r="251" spans="2:8" ht="12" customHeight="1" outlineLevel="2">
      <c r="B251" s="3" t="s">
        <v>384</v>
      </c>
      <c r="C251" s="3" t="s">
        <v>240</v>
      </c>
      <c r="D251" s="4">
        <v>2232.48</v>
      </c>
      <c r="E251" s="304">
        <v>3000</v>
      </c>
      <c r="F251" s="304">
        <v>3000</v>
      </c>
      <c r="G251" s="4">
        <v>3000</v>
      </c>
      <c r="H251" s="4">
        <v>2678.98</v>
      </c>
    </row>
    <row r="252" spans="2:9" ht="12" customHeight="1" outlineLevel="2">
      <c r="B252" s="3" t="s">
        <v>385</v>
      </c>
      <c r="C252" s="3" t="s">
        <v>242</v>
      </c>
      <c r="D252" s="4">
        <v>2595.99</v>
      </c>
      <c r="E252" s="304">
        <v>5500</v>
      </c>
      <c r="F252" s="60">
        <v>5500</v>
      </c>
      <c r="G252" s="4">
        <v>3100</v>
      </c>
      <c r="H252" s="4">
        <v>3115.19</v>
      </c>
      <c r="I252" s="309" t="s">
        <v>1173</v>
      </c>
    </row>
    <row r="253" spans="2:8" ht="12" customHeight="1" outlineLevel="2">
      <c r="B253" s="3" t="s">
        <v>386</v>
      </c>
      <c r="C253" s="3" t="s">
        <v>387</v>
      </c>
      <c r="D253" s="4">
        <v>0</v>
      </c>
      <c r="E253" s="304">
        <v>0</v>
      </c>
      <c r="F253" s="304">
        <v>0</v>
      </c>
      <c r="G253" s="4">
        <v>0</v>
      </c>
      <c r="H253" s="4">
        <v>0</v>
      </c>
    </row>
    <row r="254" spans="2:8" ht="12" customHeight="1" outlineLevel="2">
      <c r="B254" s="3" t="s">
        <v>388</v>
      </c>
      <c r="C254" s="3" t="s">
        <v>389</v>
      </c>
      <c r="D254" s="4">
        <v>0</v>
      </c>
      <c r="E254" s="304">
        <v>0</v>
      </c>
      <c r="F254" s="304">
        <v>0</v>
      </c>
      <c r="G254" s="4">
        <v>0</v>
      </c>
      <c r="H254" s="4">
        <v>0</v>
      </c>
    </row>
    <row r="255" spans="2:8" ht="12" customHeight="1" outlineLevel="2">
      <c r="B255" s="3" t="s">
        <v>390</v>
      </c>
      <c r="C255" s="3" t="s">
        <v>263</v>
      </c>
      <c r="D255" s="4">
        <v>268.24</v>
      </c>
      <c r="E255" s="304">
        <v>768</v>
      </c>
      <c r="F255" s="304">
        <v>768</v>
      </c>
      <c r="G255" s="4">
        <v>768</v>
      </c>
      <c r="H255" s="4">
        <v>321.89</v>
      </c>
    </row>
    <row r="256" spans="2:11" ht="12" customHeight="1" outlineLevel="2">
      <c r="B256" s="3" t="s">
        <v>391</v>
      </c>
      <c r="C256" s="3" t="s">
        <v>333</v>
      </c>
      <c r="D256" s="4">
        <v>13500</v>
      </c>
      <c r="E256" s="304">
        <v>54000</v>
      </c>
      <c r="F256" s="304">
        <v>54000</v>
      </c>
      <c r="G256" s="4">
        <v>54000</v>
      </c>
      <c r="I256" s="309" t="s">
        <v>1099</v>
      </c>
      <c r="J256" s="2" t="s">
        <v>837</v>
      </c>
      <c r="K256" s="4"/>
    </row>
    <row r="257" spans="2:10" ht="12" customHeight="1" outlineLevel="2">
      <c r="B257" s="3" t="s">
        <v>392</v>
      </c>
      <c r="C257" s="3" t="s">
        <v>335</v>
      </c>
      <c r="D257" s="4">
        <v>1938.75</v>
      </c>
      <c r="E257" s="304">
        <v>2327</v>
      </c>
      <c r="F257" s="304">
        <v>2327</v>
      </c>
      <c r="G257" s="4">
        <v>2327</v>
      </c>
      <c r="H257" s="4">
        <v>2326.5</v>
      </c>
      <c r="J257" s="58"/>
    </row>
    <row r="258" spans="2:8" ht="12" customHeight="1" outlineLevel="2">
      <c r="B258" s="3" t="s">
        <v>393</v>
      </c>
      <c r="C258" s="3" t="s">
        <v>394</v>
      </c>
      <c r="D258" s="4">
        <v>4509.36</v>
      </c>
      <c r="E258" s="304">
        <v>5679</v>
      </c>
      <c r="F258" s="304">
        <v>5679</v>
      </c>
      <c r="G258" s="4">
        <v>5679</v>
      </c>
      <c r="H258" s="4">
        <v>5411.23</v>
      </c>
    </row>
    <row r="259" spans="2:9" ht="12" customHeight="1" outlineLevel="2">
      <c r="B259" s="3" t="s">
        <v>395</v>
      </c>
      <c r="C259" s="3" t="s">
        <v>396</v>
      </c>
      <c r="D259" s="4">
        <v>8031.62</v>
      </c>
      <c r="E259" s="304">
        <v>9638</v>
      </c>
      <c r="F259" s="304">
        <v>9638</v>
      </c>
      <c r="G259" s="4">
        <v>9638</v>
      </c>
      <c r="H259" s="4">
        <v>9637.94</v>
      </c>
      <c r="I259" s="375" t="s">
        <v>1350</v>
      </c>
    </row>
    <row r="260" spans="2:11" ht="12" customHeight="1" outlineLevel="2">
      <c r="B260" s="3" t="s">
        <v>397</v>
      </c>
      <c r="C260" s="3" t="s">
        <v>398</v>
      </c>
      <c r="D260" s="4">
        <v>3156.42</v>
      </c>
      <c r="H260" s="4">
        <v>3787.7</v>
      </c>
      <c r="J260" s="2" t="s">
        <v>839</v>
      </c>
      <c r="K260" s="4">
        <v>7000</v>
      </c>
    </row>
    <row r="261" spans="2:8" ht="12" customHeight="1" outlineLevel="2">
      <c r="B261" s="3" t="s">
        <v>399</v>
      </c>
      <c r="C261" s="3" t="s">
        <v>265</v>
      </c>
      <c r="D261" s="4">
        <v>0</v>
      </c>
      <c r="E261" s="304">
        <v>0</v>
      </c>
      <c r="F261" s="60">
        <v>0</v>
      </c>
      <c r="G261" s="4">
        <v>1000</v>
      </c>
      <c r="H261" s="4">
        <v>0</v>
      </c>
    </row>
    <row r="262" spans="2:9" ht="12" customHeight="1" outlineLevel="2">
      <c r="B262" s="3" t="s">
        <v>400</v>
      </c>
      <c r="C262" s="3" t="s">
        <v>194</v>
      </c>
      <c r="D262" s="4">
        <v>6416.57</v>
      </c>
      <c r="E262" s="304">
        <v>1000</v>
      </c>
      <c r="F262" s="60">
        <v>1000</v>
      </c>
      <c r="G262" s="4">
        <v>500</v>
      </c>
      <c r="H262" s="4">
        <v>7699.88</v>
      </c>
      <c r="I262" s="309" t="s">
        <v>1146</v>
      </c>
    </row>
    <row r="263" spans="2:8" ht="12" customHeight="1" outlineLevel="2">
      <c r="B263" s="3" t="s">
        <v>401</v>
      </c>
      <c r="C263" s="3" t="s">
        <v>338</v>
      </c>
      <c r="D263" s="4">
        <v>35</v>
      </c>
      <c r="E263" s="304">
        <v>0</v>
      </c>
      <c r="F263" s="304">
        <v>0</v>
      </c>
      <c r="G263" s="4">
        <v>0</v>
      </c>
      <c r="H263" s="4">
        <v>42</v>
      </c>
    </row>
    <row r="264" spans="2:11" ht="12" customHeight="1" outlineLevel="2">
      <c r="B264" s="3" t="s">
        <v>402</v>
      </c>
      <c r="C264" s="3" t="s">
        <v>403</v>
      </c>
      <c r="D264" s="4">
        <v>2747.42</v>
      </c>
      <c r="E264" s="304">
        <v>0</v>
      </c>
      <c r="F264" s="304">
        <v>0</v>
      </c>
      <c r="G264" s="4">
        <v>0</v>
      </c>
      <c r="H264" s="60">
        <v>3296.9</v>
      </c>
      <c r="I264" s="309" t="s">
        <v>1147</v>
      </c>
      <c r="K264" s="4"/>
    </row>
    <row r="265" spans="2:11" ht="12" customHeight="1" outlineLevel="2">
      <c r="B265" s="3" t="s">
        <v>404</v>
      </c>
      <c r="C265" s="3" t="s">
        <v>405</v>
      </c>
      <c r="D265" s="4">
        <v>2294.9</v>
      </c>
      <c r="E265" s="304">
        <v>1000</v>
      </c>
      <c r="F265" s="304">
        <v>1000</v>
      </c>
      <c r="G265" s="4">
        <v>1000</v>
      </c>
      <c r="H265" s="4">
        <v>2753.88</v>
      </c>
      <c r="K265" s="4"/>
    </row>
    <row r="266" spans="2:7" ht="12" customHeight="1" outlineLevel="2">
      <c r="B266" s="3"/>
      <c r="C266" s="3"/>
      <c r="D266" s="4" t="s">
        <v>796</v>
      </c>
      <c r="E266" s="304">
        <f>SUM(E224:E265)</f>
        <v>270081</v>
      </c>
      <c r="F266" s="304">
        <v>266925</v>
      </c>
      <c r="G266" s="4">
        <v>275099</v>
      </c>
    </row>
    <row r="267" spans="1:7" ht="12" customHeight="1" outlineLevel="2">
      <c r="A267" s="1" t="s">
        <v>781</v>
      </c>
      <c r="B267" s="3" t="s">
        <v>795</v>
      </c>
      <c r="C267" s="3"/>
      <c r="D267" s="4" t="s">
        <v>795</v>
      </c>
      <c r="E267" s="304">
        <f>E266+E222</f>
        <v>408152.49960972427</v>
      </c>
      <c r="F267" s="304">
        <v>404996.49960972427</v>
      </c>
      <c r="G267" s="4">
        <v>406838.00344498</v>
      </c>
    </row>
    <row r="268" spans="2:3" ht="12" customHeight="1" outlineLevel="2">
      <c r="B268" s="3"/>
      <c r="C268" s="3"/>
    </row>
    <row r="269" spans="2:9" ht="12" customHeight="1" outlineLevel="2">
      <c r="B269" s="1" t="s">
        <v>782</v>
      </c>
      <c r="C269" s="3"/>
      <c r="D269" s="4" t="s">
        <v>2</v>
      </c>
      <c r="E269" s="304" t="s">
        <v>3</v>
      </c>
      <c r="F269" s="304" t="s">
        <v>3</v>
      </c>
      <c r="G269" s="4" t="s">
        <v>3</v>
      </c>
      <c r="H269" s="4" t="s">
        <v>4</v>
      </c>
      <c r="I269" s="309">
        <v>0.05</v>
      </c>
    </row>
    <row r="270" spans="2:11" ht="12" customHeight="1" outlineLevel="2">
      <c r="B270" s="3" t="s">
        <v>406</v>
      </c>
      <c r="C270" s="3" t="s">
        <v>52</v>
      </c>
      <c r="D270" s="4">
        <v>336</v>
      </c>
      <c r="H270" s="4">
        <v>403.2</v>
      </c>
      <c r="J270" s="2" t="s">
        <v>841</v>
      </c>
      <c r="K270" s="4">
        <v>9961</v>
      </c>
    </row>
    <row r="271" spans="1:7" ht="12" customHeight="1" outlineLevel="2">
      <c r="A271" s="1" t="s">
        <v>782</v>
      </c>
      <c r="B271" s="3" t="s">
        <v>794</v>
      </c>
      <c r="C271" s="3"/>
      <c r="E271" s="304">
        <f>E270</f>
        <v>0</v>
      </c>
      <c r="F271" s="304">
        <v>0</v>
      </c>
      <c r="G271" s="4">
        <v>0</v>
      </c>
    </row>
    <row r="272" spans="2:3" ht="12" customHeight="1" outlineLevel="2">
      <c r="B272" s="3"/>
      <c r="C272" s="3"/>
    </row>
    <row r="273" spans="2:8" ht="12" customHeight="1" outlineLevel="2">
      <c r="B273" s="3" t="s">
        <v>407</v>
      </c>
      <c r="C273" s="3" t="s">
        <v>303</v>
      </c>
      <c r="D273" s="4">
        <v>0</v>
      </c>
      <c r="H273" s="4">
        <v>0</v>
      </c>
    </row>
    <row r="274" spans="2:8" ht="12" customHeight="1" outlineLevel="2">
      <c r="B274" s="3" t="s">
        <v>408</v>
      </c>
      <c r="C274" s="3" t="s">
        <v>305</v>
      </c>
      <c r="D274" s="4">
        <v>27525.64</v>
      </c>
      <c r="H274" s="4">
        <v>33030.77</v>
      </c>
    </row>
    <row r="275" spans="2:8" ht="12" customHeight="1" outlineLevel="2">
      <c r="B275" s="3" t="s">
        <v>409</v>
      </c>
      <c r="C275" s="3" t="s">
        <v>307</v>
      </c>
      <c r="D275" s="4">
        <v>0</v>
      </c>
      <c r="H275" s="4">
        <v>0</v>
      </c>
    </row>
    <row r="276" spans="2:8" ht="12" customHeight="1" outlineLevel="2">
      <c r="B276" s="3" t="s">
        <v>410</v>
      </c>
      <c r="C276" s="3" t="s">
        <v>346</v>
      </c>
      <c r="D276" s="4">
        <v>0</v>
      </c>
      <c r="H276" s="4">
        <v>0</v>
      </c>
    </row>
    <row r="277" spans="2:8" ht="12" customHeight="1" outlineLevel="2">
      <c r="B277" s="3" t="s">
        <v>411</v>
      </c>
      <c r="C277" s="3" t="s">
        <v>309</v>
      </c>
      <c r="D277" s="4">
        <v>1683.79</v>
      </c>
      <c r="H277" s="4">
        <v>2020.55</v>
      </c>
    </row>
    <row r="278" spans="2:8" ht="12" customHeight="1" outlineLevel="2">
      <c r="B278" s="3" t="s">
        <v>412</v>
      </c>
      <c r="C278" s="3" t="s">
        <v>311</v>
      </c>
      <c r="D278" s="4">
        <v>393.79</v>
      </c>
      <c r="H278" s="4">
        <v>472.55</v>
      </c>
    </row>
    <row r="279" spans="2:8" ht="12" customHeight="1" outlineLevel="2">
      <c r="B279" s="3" t="s">
        <v>413</v>
      </c>
      <c r="C279" s="3" t="s">
        <v>313</v>
      </c>
      <c r="D279" s="4">
        <v>2116.08</v>
      </c>
      <c r="H279" s="4">
        <v>2539.3</v>
      </c>
    </row>
    <row r="280" spans="2:8" ht="12" customHeight="1" outlineLevel="2">
      <c r="B280" s="3" t="s">
        <v>414</v>
      </c>
      <c r="C280" s="3" t="s">
        <v>315</v>
      </c>
      <c r="D280" s="4">
        <v>0</v>
      </c>
      <c r="H280" s="4">
        <v>0</v>
      </c>
    </row>
    <row r="281" spans="2:8" ht="12" customHeight="1" outlineLevel="2">
      <c r="B281" s="3" t="s">
        <v>415</v>
      </c>
      <c r="C281" s="3" t="s">
        <v>317</v>
      </c>
      <c r="D281" s="4">
        <v>0</v>
      </c>
      <c r="H281" s="4">
        <v>0</v>
      </c>
    </row>
    <row r="282" spans="2:8" ht="12" customHeight="1" outlineLevel="2">
      <c r="B282" s="3" t="s">
        <v>416</v>
      </c>
      <c r="C282" s="3" t="s">
        <v>353</v>
      </c>
      <c r="D282" s="4">
        <v>27.59</v>
      </c>
      <c r="H282" s="4">
        <v>33.11</v>
      </c>
    </row>
    <row r="283" spans="1:7" ht="12" customHeight="1" outlineLevel="2">
      <c r="A283" s="1" t="s">
        <v>782</v>
      </c>
      <c r="B283" s="3" t="s">
        <v>798</v>
      </c>
      <c r="C283" s="3"/>
      <c r="E283" s="304">
        <f>J756</f>
        <v>22593.213929999998</v>
      </c>
      <c r="F283" s="304">
        <v>22593.213929999998</v>
      </c>
      <c r="G283" s="4">
        <v>22118.18748</v>
      </c>
    </row>
    <row r="284" spans="2:3" ht="12" customHeight="1" outlineLevel="2">
      <c r="B284" s="3"/>
      <c r="C284" s="3"/>
    </row>
    <row r="285" spans="2:8" ht="12" customHeight="1" outlineLevel="2">
      <c r="B285" s="3" t="s">
        <v>417</v>
      </c>
      <c r="C285" s="3" t="s">
        <v>319</v>
      </c>
      <c r="D285" s="4">
        <v>8.6</v>
      </c>
      <c r="E285" s="304">
        <v>9</v>
      </c>
      <c r="F285" s="304">
        <v>9</v>
      </c>
      <c r="G285" s="4">
        <v>9</v>
      </c>
      <c r="H285" s="4">
        <v>10.32</v>
      </c>
    </row>
    <row r="286" spans="2:8" ht="12" customHeight="1" outlineLevel="2">
      <c r="B286" s="3" t="s">
        <v>418</v>
      </c>
      <c r="C286" s="3" t="s">
        <v>321</v>
      </c>
      <c r="D286" s="4">
        <v>184.38</v>
      </c>
      <c r="E286" s="304">
        <v>300</v>
      </c>
      <c r="F286" s="60">
        <v>300</v>
      </c>
      <c r="G286" s="4">
        <v>100</v>
      </c>
      <c r="H286" s="4">
        <v>221.26</v>
      </c>
    </row>
    <row r="287" spans="2:8" ht="12" customHeight="1" outlineLevel="2">
      <c r="B287" s="3" t="s">
        <v>419</v>
      </c>
      <c r="C287" s="3" t="s">
        <v>214</v>
      </c>
      <c r="D287" s="4">
        <v>0</v>
      </c>
      <c r="E287" s="304">
        <v>0</v>
      </c>
      <c r="F287" s="304">
        <v>0</v>
      </c>
      <c r="G287" s="4">
        <v>0</v>
      </c>
      <c r="H287" s="4">
        <v>0</v>
      </c>
    </row>
    <row r="288" spans="2:8" ht="12.75" customHeight="1" outlineLevel="2">
      <c r="B288" s="3" t="s">
        <v>420</v>
      </c>
      <c r="C288" s="3" t="s">
        <v>220</v>
      </c>
      <c r="D288" s="4">
        <v>0</v>
      </c>
      <c r="E288" s="304">
        <v>0</v>
      </c>
      <c r="F288" s="304">
        <v>0</v>
      </c>
      <c r="G288" s="4">
        <v>0</v>
      </c>
      <c r="H288" s="4">
        <v>0</v>
      </c>
    </row>
    <row r="289" spans="2:8" ht="12" customHeight="1" outlineLevel="2">
      <c r="B289" s="3" t="s">
        <v>421</v>
      </c>
      <c r="C289" s="3" t="s">
        <v>298</v>
      </c>
      <c r="D289" s="4">
        <v>0</v>
      </c>
      <c r="E289" s="304">
        <f>'Work Sheet'!C67</f>
        <v>1000</v>
      </c>
      <c r="F289" s="304">
        <v>1000</v>
      </c>
      <c r="G289" s="4">
        <v>1000</v>
      </c>
      <c r="H289" s="4">
        <v>0</v>
      </c>
    </row>
    <row r="290" spans="2:8" ht="12" customHeight="1" outlineLevel="2">
      <c r="B290" s="3" t="s">
        <v>422</v>
      </c>
      <c r="C290" s="3" t="s">
        <v>224</v>
      </c>
      <c r="D290" s="4">
        <v>0</v>
      </c>
      <c r="E290" s="304">
        <v>0</v>
      </c>
      <c r="F290" s="304">
        <v>0</v>
      </c>
      <c r="G290" s="4">
        <v>0</v>
      </c>
      <c r="H290" s="4">
        <v>0</v>
      </c>
    </row>
    <row r="291" spans="1:11" s="30" customFormat="1" ht="12" customHeight="1" outlineLevel="2">
      <c r="A291" s="207"/>
      <c r="B291" s="206" t="s">
        <v>423</v>
      </c>
      <c r="C291" s="206" t="s">
        <v>183</v>
      </c>
      <c r="D291" s="60">
        <v>0</v>
      </c>
      <c r="E291" s="304">
        <v>900</v>
      </c>
      <c r="F291" s="304">
        <v>900</v>
      </c>
      <c r="G291" s="60">
        <v>900</v>
      </c>
      <c r="H291" s="60">
        <v>0</v>
      </c>
      <c r="I291" s="375" t="s">
        <v>1152</v>
      </c>
      <c r="J291" s="207"/>
      <c r="K291" s="207"/>
    </row>
    <row r="292" spans="2:8" ht="12" customHeight="1" outlineLevel="2">
      <c r="B292" s="3" t="s">
        <v>424</v>
      </c>
      <c r="C292" s="3" t="s">
        <v>229</v>
      </c>
      <c r="D292" s="4">
        <v>36.99</v>
      </c>
      <c r="E292" s="304">
        <v>250</v>
      </c>
      <c r="F292" s="304">
        <v>250</v>
      </c>
      <c r="G292" s="4">
        <v>250</v>
      </c>
      <c r="H292" s="4">
        <v>44.39</v>
      </c>
    </row>
    <row r="293" spans="1:11" s="30" customFormat="1" ht="12" customHeight="1" outlineLevel="2">
      <c r="A293" s="207"/>
      <c r="B293" s="206" t="s">
        <v>425</v>
      </c>
      <c r="C293" s="206" t="s">
        <v>191</v>
      </c>
      <c r="D293" s="60">
        <v>1359.05</v>
      </c>
      <c r="E293" s="304">
        <v>0</v>
      </c>
      <c r="F293" s="304">
        <v>0</v>
      </c>
      <c r="G293" s="60">
        <v>0</v>
      </c>
      <c r="H293" s="60">
        <v>1630.86</v>
      </c>
      <c r="I293" s="375"/>
      <c r="J293" s="207"/>
      <c r="K293" s="207"/>
    </row>
    <row r="294" spans="2:8" ht="12" customHeight="1" outlineLevel="2">
      <c r="B294" s="3" t="s">
        <v>426</v>
      </c>
      <c r="C294" s="3" t="s">
        <v>205</v>
      </c>
      <c r="D294" s="4">
        <v>945.62</v>
      </c>
      <c r="E294" s="304">
        <v>0</v>
      </c>
      <c r="F294" s="60">
        <v>0</v>
      </c>
      <c r="G294" s="4">
        <v>1000</v>
      </c>
      <c r="H294" s="4">
        <v>1134.74</v>
      </c>
    </row>
    <row r="295" spans="2:8" ht="12" customHeight="1" outlineLevel="2">
      <c r="B295" s="3" t="s">
        <v>427</v>
      </c>
      <c r="C295" s="3" t="s">
        <v>428</v>
      </c>
      <c r="D295" s="4">
        <v>0</v>
      </c>
      <c r="E295" s="304">
        <v>0</v>
      </c>
      <c r="F295" s="304">
        <v>0</v>
      </c>
      <c r="G295" s="4">
        <v>0</v>
      </c>
      <c r="H295" s="4">
        <v>0</v>
      </c>
    </row>
    <row r="296" spans="2:8" ht="12" customHeight="1" outlineLevel="2">
      <c r="B296" s="3" t="s">
        <v>429</v>
      </c>
      <c r="C296" s="3" t="s">
        <v>189</v>
      </c>
      <c r="D296" s="4">
        <v>1577.53</v>
      </c>
      <c r="E296" s="304">
        <v>2000</v>
      </c>
      <c r="F296" s="304">
        <v>2000</v>
      </c>
      <c r="G296" s="4">
        <v>2000</v>
      </c>
      <c r="H296" s="4">
        <v>1893.04</v>
      </c>
    </row>
    <row r="297" spans="2:8" ht="12" customHeight="1" outlineLevel="2">
      <c r="B297" s="3" t="s">
        <v>430</v>
      </c>
      <c r="C297" s="3" t="s">
        <v>209</v>
      </c>
      <c r="D297" s="4">
        <v>436.62</v>
      </c>
      <c r="E297" s="304">
        <v>0</v>
      </c>
      <c r="F297" s="304">
        <v>0</v>
      </c>
      <c r="G297" s="4">
        <v>0</v>
      </c>
      <c r="H297" s="4">
        <v>523.94</v>
      </c>
    </row>
    <row r="298" spans="2:8" ht="12" customHeight="1" outlineLevel="2">
      <c r="B298" s="3" t="s">
        <v>431</v>
      </c>
      <c r="C298" s="3" t="s">
        <v>260</v>
      </c>
      <c r="D298" s="4">
        <v>0</v>
      </c>
      <c r="E298" s="304">
        <v>0</v>
      </c>
      <c r="F298" s="304">
        <v>0</v>
      </c>
      <c r="G298" s="4">
        <v>0</v>
      </c>
      <c r="H298" s="4">
        <v>0</v>
      </c>
    </row>
    <row r="299" spans="2:8" ht="12" customHeight="1" outlineLevel="2">
      <c r="B299" s="3" t="s">
        <v>432</v>
      </c>
      <c r="C299" s="3" t="s">
        <v>240</v>
      </c>
      <c r="D299" s="4">
        <v>100</v>
      </c>
      <c r="E299" s="304">
        <v>100</v>
      </c>
      <c r="F299" s="304">
        <v>100</v>
      </c>
      <c r="G299" s="4">
        <v>100</v>
      </c>
      <c r="H299" s="4">
        <v>120</v>
      </c>
    </row>
    <row r="300" spans="2:8" ht="12" customHeight="1" outlineLevel="2">
      <c r="B300" s="3" t="s">
        <v>433</v>
      </c>
      <c r="C300" s="3" t="s">
        <v>242</v>
      </c>
      <c r="D300" s="4">
        <v>0</v>
      </c>
      <c r="E300" s="304">
        <v>100</v>
      </c>
      <c r="F300" s="304">
        <v>100</v>
      </c>
      <c r="G300" s="4">
        <v>100</v>
      </c>
      <c r="H300" s="4">
        <v>0</v>
      </c>
    </row>
    <row r="301" spans="2:8" ht="12" customHeight="1" outlineLevel="2">
      <c r="B301" s="3" t="s">
        <v>434</v>
      </c>
      <c r="C301" s="3" t="s">
        <v>335</v>
      </c>
      <c r="D301" s="4">
        <v>140</v>
      </c>
      <c r="E301" s="304">
        <v>200</v>
      </c>
      <c r="F301" s="304">
        <v>200</v>
      </c>
      <c r="G301" s="4">
        <v>200</v>
      </c>
      <c r="H301" s="4">
        <v>168</v>
      </c>
    </row>
    <row r="302" spans="2:8" ht="12" customHeight="1" outlineLevel="2">
      <c r="B302" s="3" t="s">
        <v>435</v>
      </c>
      <c r="C302" s="3" t="s">
        <v>394</v>
      </c>
      <c r="D302" s="4">
        <v>181.16</v>
      </c>
      <c r="E302" s="304">
        <v>550</v>
      </c>
      <c r="F302" s="60">
        <v>550</v>
      </c>
      <c r="G302" s="4">
        <v>0</v>
      </c>
      <c r="H302" s="4">
        <v>217.39</v>
      </c>
    </row>
    <row r="303" spans="2:8" ht="12" customHeight="1" outlineLevel="2">
      <c r="B303" s="3" t="s">
        <v>436</v>
      </c>
      <c r="C303" s="3" t="s">
        <v>437</v>
      </c>
      <c r="D303" s="4">
        <v>0</v>
      </c>
      <c r="E303" s="304">
        <v>1000</v>
      </c>
      <c r="F303" s="304">
        <v>1000</v>
      </c>
      <c r="G303" s="4">
        <v>1000</v>
      </c>
      <c r="H303" s="4">
        <v>0</v>
      </c>
    </row>
    <row r="304" spans="2:8" ht="12" customHeight="1" outlineLevel="2">
      <c r="B304" s="3" t="s">
        <v>438</v>
      </c>
      <c r="C304" s="3" t="s">
        <v>265</v>
      </c>
      <c r="D304" s="4">
        <v>0</v>
      </c>
      <c r="E304" s="304">
        <v>0</v>
      </c>
      <c r="F304" s="304">
        <v>0</v>
      </c>
      <c r="G304" s="4">
        <v>0</v>
      </c>
      <c r="H304" s="4">
        <v>0</v>
      </c>
    </row>
    <row r="305" spans="2:9" ht="12" customHeight="1" outlineLevel="2">
      <c r="B305" s="3" t="s">
        <v>1148</v>
      </c>
      <c r="C305" s="3" t="s">
        <v>1149</v>
      </c>
      <c r="E305" s="304">
        <v>1500</v>
      </c>
      <c r="F305" s="60">
        <v>1500</v>
      </c>
      <c r="I305" s="309" t="s">
        <v>1151</v>
      </c>
    </row>
    <row r="306" spans="2:8" ht="12" customHeight="1" outlineLevel="2">
      <c r="B306" s="3" t="s">
        <v>439</v>
      </c>
      <c r="C306" s="3" t="s">
        <v>338</v>
      </c>
      <c r="D306" s="4">
        <v>0</v>
      </c>
      <c r="E306" s="304">
        <v>0</v>
      </c>
      <c r="F306" s="304">
        <v>0</v>
      </c>
      <c r="G306" s="4">
        <v>0</v>
      </c>
      <c r="H306" s="4">
        <v>0</v>
      </c>
    </row>
    <row r="307" spans="2:5" ht="12" customHeight="1" outlineLevel="2">
      <c r="B307" s="3"/>
      <c r="C307" s="3"/>
      <c r="E307" s="304">
        <f>SUM(E285:E306)</f>
        <v>7909</v>
      </c>
    </row>
    <row r="308" spans="1:12" s="2" customFormat="1" ht="12" customHeight="1" outlineLevel="2">
      <c r="A308" s="1"/>
      <c r="B308" s="3" t="s">
        <v>795</v>
      </c>
      <c r="C308" s="3"/>
      <c r="D308" s="4"/>
      <c r="E308" s="304">
        <f>SUM(E283:E306)</f>
        <v>30502.213929999998</v>
      </c>
      <c r="F308" s="304">
        <v>30502.213929999998</v>
      </c>
      <c r="G308" s="4">
        <v>28777.18748</v>
      </c>
      <c r="H308" s="4"/>
      <c r="I308" s="309"/>
      <c r="L308"/>
    </row>
    <row r="309" spans="2:3" ht="12" customHeight="1" outlineLevel="2">
      <c r="B309" s="3"/>
      <c r="C309" s="3"/>
    </row>
    <row r="310" spans="1:12" s="2" customFormat="1" ht="12" customHeight="1" outlineLevel="2">
      <c r="A310" s="1" t="s">
        <v>783</v>
      </c>
      <c r="C310" s="1"/>
      <c r="D310" s="4" t="s">
        <v>2</v>
      </c>
      <c r="E310" s="304" t="s">
        <v>3</v>
      </c>
      <c r="F310" s="304" t="s">
        <v>3</v>
      </c>
      <c r="G310" s="4" t="s">
        <v>3</v>
      </c>
      <c r="H310" s="4" t="s">
        <v>4</v>
      </c>
      <c r="I310" s="309">
        <v>0.05</v>
      </c>
      <c r="L310"/>
    </row>
    <row r="311" spans="2:9" ht="12" customHeight="1" outlineLevel="2">
      <c r="B311" s="3" t="s">
        <v>440</v>
      </c>
      <c r="C311" s="3" t="s">
        <v>305</v>
      </c>
      <c r="D311" s="4">
        <v>51169.61</v>
      </c>
      <c r="H311" s="4">
        <v>61403.53</v>
      </c>
      <c r="I311" s="309">
        <f>H311*0.05+H311</f>
        <v>64473.7065</v>
      </c>
    </row>
    <row r="312" spans="2:8" ht="12" customHeight="1" outlineLevel="2">
      <c r="B312" s="3" t="s">
        <v>441</v>
      </c>
      <c r="C312" s="3" t="s">
        <v>307</v>
      </c>
      <c r="D312" s="4">
        <v>0</v>
      </c>
      <c r="H312" s="4">
        <v>0</v>
      </c>
    </row>
    <row r="313" spans="2:8" ht="12" customHeight="1" outlineLevel="2">
      <c r="B313" s="3" t="s">
        <v>442</v>
      </c>
      <c r="C313" s="3" t="s">
        <v>344</v>
      </c>
      <c r="D313" s="4">
        <v>0</v>
      </c>
      <c r="H313" s="4">
        <v>0</v>
      </c>
    </row>
    <row r="314" spans="2:9" ht="12" customHeight="1" outlineLevel="2">
      <c r="B314" s="3" t="s">
        <v>443</v>
      </c>
      <c r="C314" s="3" t="s">
        <v>309</v>
      </c>
      <c r="D314" s="4">
        <v>2955.26</v>
      </c>
      <c r="H314" s="4">
        <v>3546.31</v>
      </c>
      <c r="I314" s="309">
        <f>H314*0.05+H314</f>
        <v>3723.6255</v>
      </c>
    </row>
    <row r="315" spans="2:9" ht="12" customHeight="1" outlineLevel="2">
      <c r="B315" s="3" t="s">
        <v>444</v>
      </c>
      <c r="C315" s="3" t="s">
        <v>311</v>
      </c>
      <c r="D315" s="4">
        <v>691.16</v>
      </c>
      <c r="H315" s="4">
        <v>829.39</v>
      </c>
      <c r="I315" s="309">
        <f>H315*0.05+H315</f>
        <v>870.8595</v>
      </c>
    </row>
    <row r="316" spans="2:9" ht="12" customHeight="1" outlineLevel="2">
      <c r="B316" s="3" t="s">
        <v>445</v>
      </c>
      <c r="C316" s="3" t="s">
        <v>313</v>
      </c>
      <c r="D316" s="4">
        <v>4682.09</v>
      </c>
      <c r="H316" s="4">
        <v>5618.51</v>
      </c>
      <c r="I316" s="309">
        <f>H316*0.05+H316</f>
        <v>5899.4355000000005</v>
      </c>
    </row>
    <row r="317" spans="2:9" ht="12" customHeight="1" outlineLevel="2">
      <c r="B317" s="3" t="s">
        <v>446</v>
      </c>
      <c r="C317" s="3" t="s">
        <v>315</v>
      </c>
      <c r="D317" s="4">
        <v>12622.44</v>
      </c>
      <c r="H317" s="4">
        <v>15146.93</v>
      </c>
      <c r="I317" s="309">
        <f>H317*0.05+H317</f>
        <v>15904.2765</v>
      </c>
    </row>
    <row r="318" spans="2:8" ht="12" customHeight="1" outlineLevel="2">
      <c r="B318" s="3" t="s">
        <v>447</v>
      </c>
      <c r="C318" s="3" t="s">
        <v>317</v>
      </c>
      <c r="D318" s="4">
        <v>0</v>
      </c>
      <c r="H318" s="4">
        <v>0</v>
      </c>
    </row>
    <row r="319" spans="2:9" ht="12" customHeight="1" outlineLevel="2">
      <c r="B319" s="3" t="s">
        <v>448</v>
      </c>
      <c r="C319" s="3" t="s">
        <v>353</v>
      </c>
      <c r="D319" s="4">
        <v>50.74</v>
      </c>
      <c r="H319" s="4">
        <v>60.89</v>
      </c>
      <c r="I319" s="309">
        <f>H319*0.05+H319</f>
        <v>63.9345</v>
      </c>
    </row>
    <row r="320" spans="2:9" ht="12" customHeight="1" outlineLevel="2">
      <c r="B320" s="3" t="s">
        <v>449</v>
      </c>
      <c r="C320" s="3" t="s">
        <v>319</v>
      </c>
      <c r="D320" s="4">
        <v>17.2</v>
      </c>
      <c r="H320" s="4">
        <v>20.64</v>
      </c>
      <c r="I320" s="309">
        <f>H320*0.05+H320</f>
        <v>21.672</v>
      </c>
    </row>
    <row r="321" spans="1:12" s="2" customFormat="1" ht="12" customHeight="1" outlineLevel="2">
      <c r="A321" s="1" t="s">
        <v>783</v>
      </c>
      <c r="B321" s="3" t="s">
        <v>798</v>
      </c>
      <c r="C321" s="3"/>
      <c r="D321" s="4"/>
      <c r="E321" s="304">
        <f>J755</f>
        <v>101563.70432</v>
      </c>
      <c r="F321" s="304">
        <v>101563.70432</v>
      </c>
      <c r="G321" s="4">
        <v>99601.94452</v>
      </c>
      <c r="H321" s="4"/>
      <c r="I321" s="309"/>
      <c r="L321"/>
    </row>
    <row r="322" spans="2:3" ht="12" customHeight="1" outlineLevel="2">
      <c r="B322" s="3"/>
      <c r="C322" s="3"/>
    </row>
    <row r="323" spans="2:9" ht="12" customHeight="1" outlineLevel="2">
      <c r="B323" s="3" t="s">
        <v>450</v>
      </c>
      <c r="C323" s="3" t="s">
        <v>323</v>
      </c>
      <c r="D323" s="4">
        <v>400</v>
      </c>
      <c r="E323" s="304">
        <v>400</v>
      </c>
      <c r="F323" s="304">
        <v>400</v>
      </c>
      <c r="G323" s="4">
        <v>400</v>
      </c>
      <c r="H323" s="4">
        <v>480</v>
      </c>
      <c r="I323" s="309">
        <f>H323*0.15+H323</f>
        <v>552</v>
      </c>
    </row>
    <row r="324" spans="1:11" s="244" customFormat="1" ht="12" customHeight="1" outlineLevel="2">
      <c r="A324" s="473"/>
      <c r="B324" s="242" t="s">
        <v>451</v>
      </c>
      <c r="C324" s="242" t="s">
        <v>358</v>
      </c>
      <c r="D324" s="243">
        <v>617.98</v>
      </c>
      <c r="E324" s="304">
        <v>6500</v>
      </c>
      <c r="F324" s="60">
        <v>6500</v>
      </c>
      <c r="G324" s="243">
        <v>1000</v>
      </c>
      <c r="H324" s="243">
        <v>741.58</v>
      </c>
      <c r="I324" s="474">
        <f>H324*0.15+H324</f>
        <v>852.817</v>
      </c>
      <c r="J324" s="473"/>
      <c r="K324" s="473"/>
    </row>
    <row r="325" spans="1:11" s="30" customFormat="1" ht="12" customHeight="1" outlineLevel="2">
      <c r="A325" s="207"/>
      <c r="B325" s="206" t="s">
        <v>452</v>
      </c>
      <c r="C325" s="206" t="s">
        <v>200</v>
      </c>
      <c r="D325" s="60">
        <v>20622.99</v>
      </c>
      <c r="E325" s="304">
        <v>0</v>
      </c>
      <c r="F325" s="304">
        <v>0</v>
      </c>
      <c r="G325" s="60">
        <v>0</v>
      </c>
      <c r="H325" s="60">
        <v>24747.59</v>
      </c>
      <c r="I325" s="375">
        <f>H325*0.15+H325</f>
        <v>28459.7285</v>
      </c>
      <c r="J325" s="207" t="s">
        <v>840</v>
      </c>
      <c r="K325" s="207"/>
    </row>
    <row r="326" spans="2:8" ht="12" customHeight="1" outlineLevel="2">
      <c r="B326" s="3" t="s">
        <v>453</v>
      </c>
      <c r="C326" s="3" t="s">
        <v>214</v>
      </c>
      <c r="D326" s="4">
        <v>0</v>
      </c>
      <c r="E326" s="304">
        <v>0</v>
      </c>
      <c r="F326" s="304">
        <v>0</v>
      </c>
      <c r="G326" s="4">
        <v>0</v>
      </c>
      <c r="H326" s="4">
        <v>0</v>
      </c>
    </row>
    <row r="327" spans="2:8" ht="12" customHeight="1" outlineLevel="2">
      <c r="B327" s="3" t="s">
        <v>454</v>
      </c>
      <c r="C327" s="3" t="s">
        <v>202</v>
      </c>
      <c r="D327" s="4">
        <v>0</v>
      </c>
      <c r="E327" s="304">
        <v>0</v>
      </c>
      <c r="F327" s="304">
        <v>0</v>
      </c>
      <c r="G327" s="4">
        <v>0</v>
      </c>
      <c r="H327" s="4">
        <v>0</v>
      </c>
    </row>
    <row r="328" spans="1:11" s="244" customFormat="1" ht="15" customHeight="1" outlineLevel="2">
      <c r="A328" s="473"/>
      <c r="B328" s="242" t="s">
        <v>455</v>
      </c>
      <c r="C328" s="242" t="s">
        <v>216</v>
      </c>
      <c r="D328" s="243">
        <v>1937.5</v>
      </c>
      <c r="E328" s="304">
        <v>2000</v>
      </c>
      <c r="F328" s="304">
        <v>2000</v>
      </c>
      <c r="G328" s="243">
        <v>2300</v>
      </c>
      <c r="H328" s="243">
        <v>2325</v>
      </c>
      <c r="I328" s="474"/>
      <c r="J328" s="473"/>
      <c r="K328" s="473"/>
    </row>
    <row r="329" spans="1:11" s="244" customFormat="1" ht="12" customHeight="1" outlineLevel="2">
      <c r="A329" s="473"/>
      <c r="B329" s="242" t="s">
        <v>456</v>
      </c>
      <c r="C329" s="242" t="s">
        <v>298</v>
      </c>
      <c r="D329" s="243">
        <v>0</v>
      </c>
      <c r="E329" s="304">
        <f>'Work Sheet'!C76</f>
        <v>0</v>
      </c>
      <c r="F329" s="304">
        <v>0</v>
      </c>
      <c r="G329" s="243">
        <v>0</v>
      </c>
      <c r="H329" s="243">
        <v>0</v>
      </c>
      <c r="I329" s="474"/>
      <c r="J329" s="473"/>
      <c r="K329" s="473"/>
    </row>
    <row r="330" spans="2:9" ht="12" customHeight="1" outlineLevel="2">
      <c r="B330" s="3" t="s">
        <v>457</v>
      </c>
      <c r="C330" s="3" t="s">
        <v>224</v>
      </c>
      <c r="D330" s="4">
        <v>2400</v>
      </c>
      <c r="E330" s="304">
        <v>2000</v>
      </c>
      <c r="F330" s="304">
        <v>2000</v>
      </c>
      <c r="G330" s="4">
        <v>2000</v>
      </c>
      <c r="H330" s="4">
        <v>2880</v>
      </c>
      <c r="I330" s="309" t="s">
        <v>1153</v>
      </c>
    </row>
    <row r="331" spans="2:9" ht="12" customHeight="1" outlineLevel="2">
      <c r="B331" s="3" t="s">
        <v>458</v>
      </c>
      <c r="C331" s="3" t="s">
        <v>183</v>
      </c>
      <c r="D331" s="4">
        <v>1600.3</v>
      </c>
      <c r="E331" s="304">
        <v>1750</v>
      </c>
      <c r="F331" s="304">
        <v>1750</v>
      </c>
      <c r="G331" s="4">
        <v>1750</v>
      </c>
      <c r="H331" s="4">
        <v>1920.36</v>
      </c>
      <c r="I331" s="309" t="s">
        <v>1156</v>
      </c>
    </row>
    <row r="332" spans="2:8" ht="12" customHeight="1" outlineLevel="2">
      <c r="B332" s="3" t="s">
        <v>459</v>
      </c>
      <c r="C332" s="3" t="s">
        <v>460</v>
      </c>
      <c r="D332" s="4">
        <v>0</v>
      </c>
      <c r="E332" s="304">
        <v>0</v>
      </c>
      <c r="F332" s="304">
        <v>0</v>
      </c>
      <c r="G332" s="4">
        <v>0</v>
      </c>
      <c r="H332" s="4">
        <v>0</v>
      </c>
    </row>
    <row r="333" spans="2:8" ht="12" customHeight="1" outlineLevel="2">
      <c r="B333" s="3" t="s">
        <v>461</v>
      </c>
      <c r="C333" s="3" t="s">
        <v>229</v>
      </c>
      <c r="D333" s="4">
        <v>3805.77</v>
      </c>
      <c r="E333" s="304">
        <v>0</v>
      </c>
      <c r="F333" s="60">
        <v>0</v>
      </c>
      <c r="G333" s="4">
        <v>4800</v>
      </c>
      <c r="H333" s="4">
        <v>4566.92</v>
      </c>
    </row>
    <row r="334" spans="2:9" ht="12" customHeight="1" outlineLevel="2">
      <c r="B334" s="3" t="s">
        <v>1154</v>
      </c>
      <c r="C334" s="3" t="s">
        <v>1155</v>
      </c>
      <c r="E334" s="304">
        <f>3000+1500</f>
        <v>4500</v>
      </c>
      <c r="F334" s="60">
        <v>4500</v>
      </c>
      <c r="I334" s="309" t="s">
        <v>1157</v>
      </c>
    </row>
    <row r="335" spans="2:8" ht="12" customHeight="1" outlineLevel="2">
      <c r="B335" s="3" t="s">
        <v>462</v>
      </c>
      <c r="C335" s="3" t="s">
        <v>235</v>
      </c>
      <c r="D335" s="4">
        <v>32.3</v>
      </c>
      <c r="E335" s="304">
        <v>600</v>
      </c>
      <c r="F335" s="304">
        <v>600</v>
      </c>
      <c r="G335" s="4">
        <v>600</v>
      </c>
      <c r="H335" s="4">
        <v>38.76</v>
      </c>
    </row>
    <row r="336" spans="1:11" s="244" customFormat="1" ht="12" customHeight="1" outlineLevel="2">
      <c r="A336" s="473"/>
      <c r="B336" s="242" t="s">
        <v>463</v>
      </c>
      <c r="C336" s="242" t="s">
        <v>237</v>
      </c>
      <c r="D336" s="243">
        <v>919.99</v>
      </c>
      <c r="E336" s="304">
        <f>I336*J336</f>
        <v>800</v>
      </c>
      <c r="F336" s="304">
        <v>800</v>
      </c>
      <c r="G336" s="243">
        <v>800</v>
      </c>
      <c r="H336" s="243">
        <v>1103.99</v>
      </c>
      <c r="I336" s="474">
        <v>400</v>
      </c>
      <c r="J336" s="472">
        <f>1+'Work Sheet'!C75</f>
        <v>2</v>
      </c>
      <c r="K336" s="473"/>
    </row>
    <row r="337" spans="1:11" s="244" customFormat="1" ht="12" customHeight="1" outlineLevel="2">
      <c r="A337" s="473"/>
      <c r="B337" s="242" t="s">
        <v>464</v>
      </c>
      <c r="C337" s="242" t="s">
        <v>205</v>
      </c>
      <c r="D337" s="243">
        <v>2606.78</v>
      </c>
      <c r="E337" s="304">
        <v>0</v>
      </c>
      <c r="F337" s="60">
        <v>0</v>
      </c>
      <c r="G337" s="243">
        <v>1500</v>
      </c>
      <c r="H337" s="243">
        <v>3128.14</v>
      </c>
      <c r="I337" s="474"/>
      <c r="J337" s="473"/>
      <c r="K337" s="473"/>
    </row>
    <row r="338" spans="2:8" ht="12" customHeight="1" outlineLevel="2">
      <c r="B338" s="3" t="s">
        <v>465</v>
      </c>
      <c r="C338" s="3" t="s">
        <v>207</v>
      </c>
      <c r="D338" s="4">
        <v>0</v>
      </c>
      <c r="E338" s="304">
        <v>0</v>
      </c>
      <c r="F338" s="304">
        <v>0</v>
      </c>
      <c r="G338" s="4">
        <v>0</v>
      </c>
      <c r="H338" s="4">
        <v>0</v>
      </c>
    </row>
    <row r="339" spans="1:11" s="244" customFormat="1" ht="12" customHeight="1" outlineLevel="2">
      <c r="A339" s="473"/>
      <c r="B339" s="242" t="s">
        <v>466</v>
      </c>
      <c r="C339" s="242" t="s">
        <v>189</v>
      </c>
      <c r="D339" s="243">
        <v>595</v>
      </c>
      <c r="E339" s="304">
        <v>500</v>
      </c>
      <c r="F339" s="304">
        <v>500</v>
      </c>
      <c r="G339" s="243">
        <v>500</v>
      </c>
      <c r="H339" s="243">
        <v>714</v>
      </c>
      <c r="I339" s="474"/>
      <c r="J339" s="473"/>
      <c r="K339" s="473"/>
    </row>
    <row r="340" spans="2:8" ht="12" customHeight="1" outlineLevel="2">
      <c r="B340" s="3" t="s">
        <v>467</v>
      </c>
      <c r="C340" s="3" t="s">
        <v>468</v>
      </c>
      <c r="D340" s="4">
        <v>0</v>
      </c>
      <c r="E340" s="304">
        <v>0</v>
      </c>
      <c r="F340" s="304">
        <v>0</v>
      </c>
      <c r="G340" s="4">
        <v>0</v>
      </c>
      <c r="H340" s="4">
        <v>0</v>
      </c>
    </row>
    <row r="341" spans="2:8" ht="12" customHeight="1" outlineLevel="2">
      <c r="B341" s="3" t="s">
        <v>469</v>
      </c>
      <c r="C341" s="3" t="s">
        <v>209</v>
      </c>
      <c r="D341" s="4">
        <v>0</v>
      </c>
      <c r="E341" s="304">
        <v>0</v>
      </c>
      <c r="F341" s="304">
        <v>0</v>
      </c>
      <c r="G341" s="4">
        <v>0</v>
      </c>
      <c r="H341" s="4">
        <v>0</v>
      </c>
    </row>
    <row r="342" spans="2:8" ht="12" customHeight="1" outlineLevel="2">
      <c r="B342" s="3" t="s">
        <v>470</v>
      </c>
      <c r="C342" s="3" t="s">
        <v>240</v>
      </c>
      <c r="D342" s="4">
        <v>100</v>
      </c>
      <c r="E342" s="304">
        <v>100</v>
      </c>
      <c r="F342" s="304">
        <v>100</v>
      </c>
      <c r="G342" s="4">
        <v>100</v>
      </c>
      <c r="H342" s="4">
        <v>120</v>
      </c>
    </row>
    <row r="343" spans="2:9" ht="12" customHeight="1" outlineLevel="2">
      <c r="B343" s="3" t="s">
        <v>471</v>
      </c>
      <c r="C343" s="3" t="s">
        <v>242</v>
      </c>
      <c r="D343" s="4">
        <v>13.71</v>
      </c>
      <c r="E343" s="304">
        <v>0</v>
      </c>
      <c r="F343" s="60">
        <v>0</v>
      </c>
      <c r="G343" s="4">
        <v>500</v>
      </c>
      <c r="H343" s="4">
        <v>16.45</v>
      </c>
      <c r="I343" s="309" t="s">
        <v>1172</v>
      </c>
    </row>
    <row r="344" spans="2:8" ht="12" customHeight="1" outlineLevel="2">
      <c r="B344" s="3" t="s">
        <v>472</v>
      </c>
      <c r="C344" s="3" t="s">
        <v>263</v>
      </c>
      <c r="D344" s="4">
        <v>0</v>
      </c>
      <c r="E344" s="304">
        <v>0</v>
      </c>
      <c r="F344" s="304">
        <v>0</v>
      </c>
      <c r="G344" s="4">
        <v>0</v>
      </c>
      <c r="H344" s="4">
        <v>0</v>
      </c>
    </row>
    <row r="345" spans="2:8" ht="12" customHeight="1" outlineLevel="2">
      <c r="B345" s="3" t="s">
        <v>473</v>
      </c>
      <c r="C345" s="3" t="s">
        <v>335</v>
      </c>
      <c r="D345" s="4">
        <v>0</v>
      </c>
      <c r="E345" s="304">
        <v>0</v>
      </c>
      <c r="F345" s="304">
        <v>0</v>
      </c>
      <c r="G345" s="4">
        <v>0</v>
      </c>
      <c r="H345" s="4">
        <v>0</v>
      </c>
    </row>
    <row r="346" spans="1:11" s="244" customFormat="1" ht="12" customHeight="1" outlineLevel="2">
      <c r="A346" s="473"/>
      <c r="B346" s="242" t="s">
        <v>474</v>
      </c>
      <c r="C346" s="242" t="s">
        <v>394</v>
      </c>
      <c r="D346" s="243">
        <v>497.15</v>
      </c>
      <c r="E346" s="304">
        <f>I346*J346</f>
        <v>1400</v>
      </c>
      <c r="F346" s="304">
        <v>1400</v>
      </c>
      <c r="G346" s="243">
        <v>1400</v>
      </c>
      <c r="H346" s="243">
        <v>596.58</v>
      </c>
      <c r="I346" s="474">
        <v>700</v>
      </c>
      <c r="J346" s="472">
        <f>1+'Work Sheet'!C75</f>
        <v>2</v>
      </c>
      <c r="K346" s="473"/>
    </row>
    <row r="347" spans="2:8" ht="12" customHeight="1" outlineLevel="2">
      <c r="B347" s="3" t="s">
        <v>475</v>
      </c>
      <c r="C347" s="3" t="s">
        <v>396</v>
      </c>
      <c r="D347" s="4">
        <v>0</v>
      </c>
      <c r="E347" s="304">
        <v>0</v>
      </c>
      <c r="F347" s="304">
        <v>0</v>
      </c>
      <c r="G347" s="4">
        <v>0</v>
      </c>
      <c r="H347" s="4">
        <v>0</v>
      </c>
    </row>
    <row r="348" spans="2:8" ht="12" customHeight="1" outlineLevel="2">
      <c r="B348" s="3" t="s">
        <v>476</v>
      </c>
      <c r="C348" s="3" t="s">
        <v>265</v>
      </c>
      <c r="D348" s="4">
        <v>0</v>
      </c>
      <c r="E348" s="304">
        <v>0</v>
      </c>
      <c r="F348" s="304">
        <v>0</v>
      </c>
      <c r="G348" s="4">
        <v>0</v>
      </c>
      <c r="H348" s="4">
        <v>0</v>
      </c>
    </row>
    <row r="349" spans="2:11" ht="12" customHeight="1" outlineLevel="2">
      <c r="B349" s="3" t="s">
        <v>477</v>
      </c>
      <c r="C349" s="3" t="s">
        <v>194</v>
      </c>
      <c r="D349" s="4">
        <v>15547.2</v>
      </c>
      <c r="H349" s="4">
        <v>18656.64</v>
      </c>
      <c r="I349" s="309" t="s">
        <v>1159</v>
      </c>
      <c r="J349" s="2" t="s">
        <v>821</v>
      </c>
      <c r="K349" s="4">
        <v>31235</v>
      </c>
    </row>
    <row r="350" spans="2:8" ht="12" customHeight="1" outlineLevel="2">
      <c r="B350" s="3" t="s">
        <v>478</v>
      </c>
      <c r="C350" s="3" t="s">
        <v>338</v>
      </c>
      <c r="D350" s="4">
        <v>0</v>
      </c>
      <c r="E350" s="304">
        <v>0</v>
      </c>
      <c r="F350" s="304">
        <v>0</v>
      </c>
      <c r="G350" s="4">
        <v>0</v>
      </c>
      <c r="H350" s="4">
        <v>0</v>
      </c>
    </row>
    <row r="351" spans="2:9" ht="12" customHeight="1" outlineLevel="2">
      <c r="B351" s="3" t="s">
        <v>479</v>
      </c>
      <c r="C351" s="3" t="s">
        <v>480</v>
      </c>
      <c r="D351" s="4">
        <v>98138.63</v>
      </c>
      <c r="E351" s="304">
        <v>0</v>
      </c>
      <c r="F351" s="304">
        <v>0</v>
      </c>
      <c r="G351" s="4">
        <v>0</v>
      </c>
      <c r="H351" s="4">
        <v>117766.36</v>
      </c>
      <c r="I351" s="309" t="s">
        <v>1158</v>
      </c>
    </row>
    <row r="352" spans="2:5" ht="12" customHeight="1" outlineLevel="2">
      <c r="B352" s="3"/>
      <c r="C352" s="3"/>
      <c r="E352" s="304">
        <f>SUM(E323:E351)</f>
        <v>20550</v>
      </c>
    </row>
    <row r="353" spans="1:9" s="2" customFormat="1" ht="12" customHeight="1" outlineLevel="2">
      <c r="A353" s="1" t="s">
        <v>783</v>
      </c>
      <c r="B353" s="3" t="s">
        <v>795</v>
      </c>
      <c r="C353" s="3"/>
      <c r="D353" s="4"/>
      <c r="E353" s="304">
        <f>SUM(E321:E351)</f>
        <v>122113.70432</v>
      </c>
      <c r="F353" s="304">
        <v>122113.70432</v>
      </c>
      <c r="G353" s="4">
        <v>117251.94452</v>
      </c>
      <c r="H353" s="4"/>
      <c r="I353" s="309"/>
    </row>
    <row r="354" spans="2:3" ht="12" customHeight="1" outlineLevel="2">
      <c r="B354" s="3"/>
      <c r="C354" s="3"/>
    </row>
    <row r="355" spans="2:3" ht="12" customHeight="1" outlineLevel="2">
      <c r="B355" s="3"/>
      <c r="C355" s="3"/>
    </row>
    <row r="356" spans="1:9" ht="12" customHeight="1" outlineLevel="2">
      <c r="A356" s="1" t="s">
        <v>784</v>
      </c>
      <c r="B356" s="1" t="s">
        <v>482</v>
      </c>
      <c r="C356" s="3"/>
      <c r="D356" s="4" t="s">
        <v>2</v>
      </c>
      <c r="E356" s="304" t="s">
        <v>3</v>
      </c>
      <c r="F356" s="304" t="s">
        <v>3</v>
      </c>
      <c r="G356" s="4" t="s">
        <v>3</v>
      </c>
      <c r="H356" s="4" t="s">
        <v>4</v>
      </c>
      <c r="I356" s="309">
        <v>0.05</v>
      </c>
    </row>
    <row r="357" spans="2:8" ht="12" customHeight="1" outlineLevel="2">
      <c r="B357" s="3" t="s">
        <v>481</v>
      </c>
      <c r="C357" s="3" t="s">
        <v>482</v>
      </c>
      <c r="D357" s="4">
        <v>394995.73</v>
      </c>
      <c r="E357" s="304">
        <f>'Budget Sum'!G43</f>
        <v>394850.5702847732</v>
      </c>
      <c r="F357" s="304">
        <v>394850.5702847732</v>
      </c>
      <c r="G357" s="4">
        <v>394850.5702847732</v>
      </c>
      <c r="H357" s="4">
        <v>473994.88</v>
      </c>
    </row>
    <row r="358" spans="1:12" s="2" customFormat="1" ht="12" customHeight="1" outlineLevel="2">
      <c r="A358" s="1" t="s">
        <v>784</v>
      </c>
      <c r="B358" s="3" t="s">
        <v>794</v>
      </c>
      <c r="C358" s="3"/>
      <c r="D358" s="4">
        <f>D357</f>
        <v>394995.73</v>
      </c>
      <c r="E358" s="304">
        <f>E357</f>
        <v>394850.5702847732</v>
      </c>
      <c r="F358" s="304">
        <v>394850.5702847732</v>
      </c>
      <c r="G358" s="4">
        <v>394850.5702847732</v>
      </c>
      <c r="H358" s="4"/>
      <c r="I358" s="309"/>
      <c r="L358"/>
    </row>
    <row r="359" spans="2:3" ht="12" customHeight="1" outlineLevel="2">
      <c r="B359" s="3"/>
      <c r="C359" s="3"/>
    </row>
    <row r="360" spans="2:8" ht="12" customHeight="1" outlineLevel="2">
      <c r="B360" s="3" t="s">
        <v>483</v>
      </c>
      <c r="C360" s="3" t="s">
        <v>305</v>
      </c>
      <c r="D360" s="4">
        <v>39924</v>
      </c>
      <c r="E360" s="304">
        <f>J758</f>
        <v>651424.3253735979</v>
      </c>
      <c r="F360" s="304">
        <v>651424.3253735979</v>
      </c>
      <c r="G360" s="4">
        <v>639822.8040135979</v>
      </c>
      <c r="H360" s="4">
        <v>47908.8</v>
      </c>
    </row>
    <row r="361" spans="2:8" ht="12" customHeight="1" outlineLevel="2">
      <c r="B361" s="3" t="s">
        <v>484</v>
      </c>
      <c r="C361" s="3" t="s">
        <v>902</v>
      </c>
      <c r="D361" s="4">
        <v>0</v>
      </c>
      <c r="E361" s="304">
        <f>J754</f>
        <v>0</v>
      </c>
      <c r="F361" s="304">
        <v>0</v>
      </c>
      <c r="G361" s="4">
        <v>37560.85111999999</v>
      </c>
      <c r="H361" s="4">
        <v>0</v>
      </c>
    </row>
    <row r="362" spans="2:8" ht="12" customHeight="1" outlineLevel="2">
      <c r="B362" s="3" t="s">
        <v>485</v>
      </c>
      <c r="C362" s="3" t="s">
        <v>344</v>
      </c>
      <c r="D362" s="4">
        <v>0</v>
      </c>
      <c r="H362" s="4">
        <v>0</v>
      </c>
    </row>
    <row r="363" spans="2:8" ht="12" customHeight="1" outlineLevel="2">
      <c r="B363" s="3" t="s">
        <v>486</v>
      </c>
      <c r="C363" s="3" t="s">
        <v>487</v>
      </c>
      <c r="D363" s="4">
        <v>0</v>
      </c>
      <c r="H363" s="4">
        <v>0</v>
      </c>
    </row>
    <row r="364" spans="2:8" ht="12" customHeight="1" outlineLevel="2">
      <c r="B364" s="3" t="s">
        <v>488</v>
      </c>
      <c r="C364" s="3" t="s">
        <v>489</v>
      </c>
      <c r="D364" s="4">
        <v>0</v>
      </c>
      <c r="H364" s="4">
        <v>0</v>
      </c>
    </row>
    <row r="365" spans="2:8" ht="12" customHeight="1" outlineLevel="2">
      <c r="B365" s="3" t="s">
        <v>490</v>
      </c>
      <c r="C365" s="3" t="s">
        <v>346</v>
      </c>
      <c r="D365" s="4">
        <v>0</v>
      </c>
      <c r="H365" s="4">
        <v>0</v>
      </c>
    </row>
    <row r="366" spans="2:8" ht="12" customHeight="1" outlineLevel="2">
      <c r="B366" s="3" t="s">
        <v>491</v>
      </c>
      <c r="C366" s="3" t="s">
        <v>309</v>
      </c>
      <c r="D366" s="4">
        <v>2268.02</v>
      </c>
      <c r="H366" s="4">
        <v>2721.62</v>
      </c>
    </row>
    <row r="367" spans="2:8" ht="12" customHeight="1" outlineLevel="2">
      <c r="B367" s="3" t="s">
        <v>492</v>
      </c>
      <c r="C367" s="3" t="s">
        <v>311</v>
      </c>
      <c r="D367" s="4">
        <v>530.44</v>
      </c>
      <c r="H367" s="4">
        <v>636.53</v>
      </c>
    </row>
    <row r="368" spans="2:8" ht="12" customHeight="1" outlineLevel="2">
      <c r="B368" s="3" t="s">
        <v>493</v>
      </c>
      <c r="C368" s="3" t="s">
        <v>313</v>
      </c>
      <c r="D368" s="4">
        <v>3641.37</v>
      </c>
      <c r="H368" s="4">
        <v>4369.64</v>
      </c>
    </row>
    <row r="369" spans="2:8" ht="12" customHeight="1" outlineLevel="2">
      <c r="B369" s="3" t="s">
        <v>494</v>
      </c>
      <c r="C369" s="3" t="s">
        <v>315</v>
      </c>
      <c r="D369" s="4">
        <v>13460.59</v>
      </c>
      <c r="H369" s="4">
        <v>16152.71</v>
      </c>
    </row>
    <row r="370" spans="2:8" ht="12" customHeight="1" outlineLevel="2">
      <c r="B370" s="3" t="s">
        <v>495</v>
      </c>
      <c r="C370" s="3" t="s">
        <v>317</v>
      </c>
      <c r="D370" s="4">
        <v>0</v>
      </c>
      <c r="H370" s="4">
        <v>0</v>
      </c>
    </row>
    <row r="371" spans="2:8" ht="12" customHeight="1" outlineLevel="2">
      <c r="B371" s="3" t="s">
        <v>496</v>
      </c>
      <c r="C371" s="3" t="s">
        <v>353</v>
      </c>
      <c r="D371" s="4">
        <v>39.92</v>
      </c>
      <c r="H371" s="4">
        <v>47.9</v>
      </c>
    </row>
    <row r="372" spans="2:8" ht="12" customHeight="1" outlineLevel="2">
      <c r="B372" s="3" t="s">
        <v>497</v>
      </c>
      <c r="C372" s="3" t="s">
        <v>319</v>
      </c>
      <c r="D372" s="4">
        <v>8.6</v>
      </c>
      <c r="H372" s="4">
        <v>10.32</v>
      </c>
    </row>
    <row r="373" spans="1:12" s="2" customFormat="1" ht="12" customHeight="1" outlineLevel="2">
      <c r="A373" s="1" t="s">
        <v>784</v>
      </c>
      <c r="B373" s="3" t="s">
        <v>798</v>
      </c>
      <c r="C373" s="3"/>
      <c r="D373" s="4"/>
      <c r="E373" s="305">
        <f>SUM(E360:E372)</f>
        <v>651424.3253735979</v>
      </c>
      <c r="F373" s="305">
        <v>651424.3253735979</v>
      </c>
      <c r="G373" s="58">
        <v>677383.6551335979</v>
      </c>
      <c r="H373" s="4"/>
      <c r="I373" s="309"/>
      <c r="L373"/>
    </row>
    <row r="374" spans="2:3" ht="12" customHeight="1" outlineLevel="2">
      <c r="B374" s="3"/>
      <c r="C374" s="3"/>
    </row>
    <row r="375" spans="2:8" ht="12" customHeight="1" outlineLevel="2">
      <c r="B375" s="3" t="s">
        <v>498</v>
      </c>
      <c r="C375" s="3" t="s">
        <v>321</v>
      </c>
      <c r="D375" s="4">
        <v>49.02</v>
      </c>
      <c r="H375" s="4">
        <v>58.82</v>
      </c>
    </row>
    <row r="376" spans="2:8" ht="12" customHeight="1" outlineLevel="2">
      <c r="B376" s="3" t="s">
        <v>499</v>
      </c>
      <c r="C376" s="3" t="s">
        <v>323</v>
      </c>
      <c r="D376" s="4">
        <v>0</v>
      </c>
      <c r="H376" s="4">
        <v>0</v>
      </c>
    </row>
    <row r="377" spans="2:8" ht="12" customHeight="1" outlineLevel="2">
      <c r="B377" s="3" t="s">
        <v>500</v>
      </c>
      <c r="C377" s="3" t="s">
        <v>501</v>
      </c>
      <c r="D377" s="4">
        <v>2467.69</v>
      </c>
      <c r="H377" s="4">
        <v>2961.23</v>
      </c>
    </row>
    <row r="378" spans="2:8" ht="12" customHeight="1" outlineLevel="2">
      <c r="B378" s="3" t="s">
        <v>502</v>
      </c>
      <c r="C378" s="3" t="s">
        <v>200</v>
      </c>
      <c r="D378" s="4">
        <v>665.3</v>
      </c>
      <c r="H378" s="4">
        <v>798.36</v>
      </c>
    </row>
    <row r="379" spans="2:8" ht="12" customHeight="1" outlineLevel="2">
      <c r="B379" s="3" t="s">
        <v>503</v>
      </c>
      <c r="C379" s="3" t="s">
        <v>214</v>
      </c>
      <c r="D379" s="4">
        <v>73.49</v>
      </c>
      <c r="H379" s="4">
        <v>88.19</v>
      </c>
    </row>
    <row r="380" spans="2:8" ht="21.75" customHeight="1" outlineLevel="2">
      <c r="B380" s="3" t="s">
        <v>504</v>
      </c>
      <c r="C380" s="3" t="s">
        <v>216</v>
      </c>
      <c r="D380" s="4">
        <v>0</v>
      </c>
      <c r="H380" s="4">
        <v>0</v>
      </c>
    </row>
    <row r="381" spans="2:8" ht="12" customHeight="1" outlineLevel="2">
      <c r="B381" s="3" t="s">
        <v>505</v>
      </c>
      <c r="C381" s="3" t="s">
        <v>218</v>
      </c>
      <c r="D381" s="4">
        <v>0</v>
      </c>
      <c r="H381" s="4">
        <v>0</v>
      </c>
    </row>
    <row r="382" spans="2:8" ht="21.75" customHeight="1" outlineLevel="2">
      <c r="B382" s="3" t="s">
        <v>506</v>
      </c>
      <c r="C382" s="3" t="s">
        <v>220</v>
      </c>
      <c r="D382" s="4">
        <v>0</v>
      </c>
      <c r="H382" s="4">
        <v>0</v>
      </c>
    </row>
    <row r="383" spans="2:8" ht="12" customHeight="1" outlineLevel="2">
      <c r="B383" s="3" t="s">
        <v>507</v>
      </c>
      <c r="C383" s="3" t="s">
        <v>298</v>
      </c>
      <c r="D383" s="4">
        <v>0</v>
      </c>
      <c r="H383" s="4">
        <v>0</v>
      </c>
    </row>
    <row r="384" spans="2:8" ht="12" customHeight="1" outlineLevel="2">
      <c r="B384" s="3" t="s">
        <v>508</v>
      </c>
      <c r="C384" s="3" t="s">
        <v>224</v>
      </c>
      <c r="D384" s="4">
        <v>2997.57</v>
      </c>
      <c r="H384" s="4">
        <v>3597.08</v>
      </c>
    </row>
    <row r="385" spans="2:8" ht="12" customHeight="1" outlineLevel="2">
      <c r="B385" s="3" t="s">
        <v>509</v>
      </c>
      <c r="C385" s="3" t="s">
        <v>183</v>
      </c>
      <c r="D385" s="4">
        <v>3349.35</v>
      </c>
      <c r="H385" s="4">
        <v>4019.22</v>
      </c>
    </row>
    <row r="386" spans="2:8" ht="12" customHeight="1" outlineLevel="2">
      <c r="B386" s="3" t="s">
        <v>510</v>
      </c>
      <c r="C386" s="3" t="s">
        <v>229</v>
      </c>
      <c r="D386" s="4">
        <v>2715.85</v>
      </c>
      <c r="H386" s="4">
        <v>3259.02</v>
      </c>
    </row>
    <row r="387" spans="2:8" ht="12" customHeight="1" outlineLevel="2">
      <c r="B387" s="3" t="s">
        <v>511</v>
      </c>
      <c r="C387" s="3" t="s">
        <v>231</v>
      </c>
      <c r="D387" s="4">
        <v>0</v>
      </c>
      <c r="H387" s="4">
        <v>0</v>
      </c>
    </row>
    <row r="388" spans="2:8" ht="12" customHeight="1" outlineLevel="2">
      <c r="B388" s="3" t="s">
        <v>512</v>
      </c>
      <c r="C388" s="3" t="s">
        <v>513</v>
      </c>
      <c r="D388" s="4">
        <v>0</v>
      </c>
      <c r="H388" s="4">
        <v>0</v>
      </c>
    </row>
    <row r="389" spans="2:8" ht="12" customHeight="1" outlineLevel="2">
      <c r="B389" s="3" t="s">
        <v>514</v>
      </c>
      <c r="C389" s="3" t="s">
        <v>191</v>
      </c>
      <c r="D389" s="4">
        <v>0</v>
      </c>
      <c r="H389" s="4">
        <v>0</v>
      </c>
    </row>
    <row r="390" spans="2:8" ht="12" customHeight="1" outlineLevel="2">
      <c r="B390" s="3" t="s">
        <v>515</v>
      </c>
      <c r="C390" s="3" t="s">
        <v>235</v>
      </c>
      <c r="D390" s="4">
        <v>0</v>
      </c>
      <c r="H390" s="4">
        <v>0</v>
      </c>
    </row>
    <row r="391" spans="2:8" ht="12" customHeight="1" outlineLevel="2">
      <c r="B391" s="3" t="s">
        <v>516</v>
      </c>
      <c r="C391" s="3" t="s">
        <v>237</v>
      </c>
      <c r="D391" s="4">
        <v>280.66</v>
      </c>
      <c r="H391" s="4">
        <v>336.79</v>
      </c>
    </row>
    <row r="392" spans="2:8" ht="12" customHeight="1" outlineLevel="2">
      <c r="B392" s="3" t="s">
        <v>517</v>
      </c>
      <c r="C392" s="3" t="s">
        <v>205</v>
      </c>
      <c r="D392" s="4">
        <v>975.84</v>
      </c>
      <c r="H392" s="4">
        <v>1171.01</v>
      </c>
    </row>
    <row r="393" spans="2:8" ht="12" customHeight="1" outlineLevel="2">
      <c r="B393" s="3" t="s">
        <v>518</v>
      </c>
      <c r="C393" s="3" t="s">
        <v>519</v>
      </c>
      <c r="D393" s="4">
        <v>0</v>
      </c>
      <c r="H393" s="4">
        <v>0</v>
      </c>
    </row>
    <row r="394" spans="2:8" ht="12" customHeight="1" outlineLevel="2">
      <c r="B394" s="3" t="s">
        <v>520</v>
      </c>
      <c r="C394" s="3" t="s">
        <v>521</v>
      </c>
      <c r="D394" s="4">
        <v>0</v>
      </c>
      <c r="H394" s="4">
        <v>0</v>
      </c>
    </row>
    <row r="395" spans="2:8" ht="12" customHeight="1" outlineLevel="2">
      <c r="B395" s="3" t="s">
        <v>522</v>
      </c>
      <c r="C395" s="3" t="s">
        <v>189</v>
      </c>
      <c r="D395" s="4">
        <v>0</v>
      </c>
      <c r="H395" s="4">
        <v>0</v>
      </c>
    </row>
    <row r="396" spans="1:11" s="30" customFormat="1" ht="12" customHeight="1" outlineLevel="2">
      <c r="A396" s="207"/>
      <c r="B396" s="206" t="s">
        <v>523</v>
      </c>
      <c r="C396" s="206" t="s">
        <v>209</v>
      </c>
      <c r="D396" s="60">
        <v>0</v>
      </c>
      <c r="E396" s="304">
        <v>45139</v>
      </c>
      <c r="F396" s="304">
        <v>45139</v>
      </c>
      <c r="G396" s="60">
        <v>45139</v>
      </c>
      <c r="H396" s="60">
        <v>0</v>
      </c>
      <c r="I396" s="375"/>
      <c r="J396" s="207"/>
      <c r="K396" s="207"/>
    </row>
    <row r="397" spans="2:8" ht="12.75" customHeight="1" outlineLevel="2">
      <c r="B397" s="3" t="s">
        <v>524</v>
      </c>
      <c r="C397" s="3" t="s">
        <v>525</v>
      </c>
      <c r="D397" s="4">
        <v>0</v>
      </c>
      <c r="H397" s="4">
        <v>0</v>
      </c>
    </row>
    <row r="398" spans="2:8" ht="12" customHeight="1" outlineLevel="2">
      <c r="B398" s="3" t="s">
        <v>526</v>
      </c>
      <c r="C398" s="3" t="s">
        <v>260</v>
      </c>
      <c r="D398" s="4">
        <v>0</v>
      </c>
      <c r="H398" s="4">
        <v>0</v>
      </c>
    </row>
    <row r="399" spans="2:8" ht="12" customHeight="1" outlineLevel="2">
      <c r="B399" s="3" t="s">
        <v>527</v>
      </c>
      <c r="C399" s="3" t="s">
        <v>240</v>
      </c>
      <c r="D399" s="4">
        <v>150</v>
      </c>
      <c r="H399" s="4">
        <v>180</v>
      </c>
    </row>
    <row r="400" spans="2:8" ht="12" customHeight="1" outlineLevel="2">
      <c r="B400" s="3" t="s">
        <v>528</v>
      </c>
      <c r="C400" s="3" t="s">
        <v>242</v>
      </c>
      <c r="D400" s="4">
        <v>32.58</v>
      </c>
      <c r="H400" s="4">
        <v>39.1</v>
      </c>
    </row>
    <row r="401" spans="2:8" ht="12" customHeight="1" outlineLevel="2">
      <c r="B401" s="3" t="s">
        <v>529</v>
      </c>
      <c r="C401" s="3" t="s">
        <v>263</v>
      </c>
      <c r="D401" s="4">
        <v>0</v>
      </c>
      <c r="H401" s="4">
        <v>0</v>
      </c>
    </row>
    <row r="402" spans="2:11" ht="12" customHeight="1" outlineLevel="2">
      <c r="B402" s="3" t="s">
        <v>530</v>
      </c>
      <c r="C402" s="3" t="s">
        <v>333</v>
      </c>
      <c r="D402" s="4">
        <v>27000</v>
      </c>
      <c r="H402" s="4">
        <v>32400</v>
      </c>
      <c r="J402" s="2" t="s">
        <v>835</v>
      </c>
      <c r="K402" s="4">
        <v>72000</v>
      </c>
    </row>
    <row r="403" spans="2:8" ht="12" customHeight="1" outlineLevel="2">
      <c r="B403" s="3" t="s">
        <v>531</v>
      </c>
      <c r="C403" s="3" t="s">
        <v>335</v>
      </c>
      <c r="D403" s="4">
        <v>0</v>
      </c>
      <c r="H403" s="4">
        <v>0</v>
      </c>
    </row>
    <row r="404" spans="2:8" ht="12" customHeight="1" outlineLevel="2">
      <c r="B404" s="3" t="s">
        <v>532</v>
      </c>
      <c r="C404" s="3" t="s">
        <v>394</v>
      </c>
      <c r="D404" s="4">
        <v>3798.92</v>
      </c>
      <c r="H404" s="4">
        <v>4558.7</v>
      </c>
    </row>
    <row r="405" spans="2:8" ht="12" customHeight="1" outlineLevel="2">
      <c r="B405" s="206" t="s">
        <v>533</v>
      </c>
      <c r="C405" s="206" t="s">
        <v>396</v>
      </c>
      <c r="D405" s="60">
        <v>5680.38</v>
      </c>
      <c r="H405" s="4">
        <v>6816.46</v>
      </c>
    </row>
    <row r="406" spans="2:8" ht="12" customHeight="1" outlineLevel="2">
      <c r="B406" s="3" t="s">
        <v>534</v>
      </c>
      <c r="C406" s="3" t="s">
        <v>265</v>
      </c>
      <c r="D406" s="4">
        <v>0</v>
      </c>
      <c r="H406" s="4">
        <v>0</v>
      </c>
    </row>
    <row r="407" spans="2:8" ht="12" customHeight="1" outlineLevel="2">
      <c r="B407" s="485" t="s">
        <v>535</v>
      </c>
      <c r="C407" s="485" t="s">
        <v>194</v>
      </c>
      <c r="D407" s="304">
        <v>8226.56</v>
      </c>
      <c r="H407" s="4">
        <v>9871.87</v>
      </c>
    </row>
    <row r="408" spans="2:8" ht="12" customHeight="1" outlineLevel="2">
      <c r="B408" s="3" t="s">
        <v>536</v>
      </c>
      <c r="C408" s="3" t="s">
        <v>338</v>
      </c>
      <c r="D408" s="4">
        <v>0</v>
      </c>
      <c r="H408" s="4">
        <v>0</v>
      </c>
    </row>
    <row r="409" spans="2:8" ht="12" customHeight="1" outlineLevel="2">
      <c r="B409" s="3" t="s">
        <v>537</v>
      </c>
      <c r="C409" s="3" t="s">
        <v>196</v>
      </c>
      <c r="D409" s="4">
        <v>5308.95</v>
      </c>
      <c r="H409" s="4">
        <v>6370.74</v>
      </c>
    </row>
    <row r="410" spans="2:8" ht="12" customHeight="1" outlineLevel="2">
      <c r="B410" s="3" t="s">
        <v>538</v>
      </c>
      <c r="C410" s="3" t="s">
        <v>539</v>
      </c>
      <c r="D410" s="4">
        <v>0</v>
      </c>
      <c r="H410" s="4">
        <v>0</v>
      </c>
    </row>
    <row r="411" spans="2:8" ht="12" customHeight="1" outlineLevel="2">
      <c r="B411" s="3" t="s">
        <v>540</v>
      </c>
      <c r="C411" s="3" t="s">
        <v>245</v>
      </c>
      <c r="D411" s="4">
        <v>0</v>
      </c>
      <c r="H411" s="4">
        <v>0</v>
      </c>
    </row>
    <row r="412" spans="2:8" ht="12" customHeight="1" outlineLevel="2">
      <c r="B412" s="3" t="s">
        <v>541</v>
      </c>
      <c r="C412" s="3" t="s">
        <v>405</v>
      </c>
      <c r="D412" s="4">
        <v>658.55</v>
      </c>
      <c r="H412" s="4">
        <v>790.26</v>
      </c>
    </row>
    <row r="413" spans="2:8" ht="12" customHeight="1" outlineLevel="2">
      <c r="B413" s="3" t="s">
        <v>542</v>
      </c>
      <c r="C413" s="3" t="s">
        <v>198</v>
      </c>
      <c r="D413" s="4">
        <v>0</v>
      </c>
      <c r="H413" s="4">
        <v>0</v>
      </c>
    </row>
    <row r="414" spans="2:8" ht="12" customHeight="1" outlineLevel="2">
      <c r="B414" s="3" t="s">
        <v>543</v>
      </c>
      <c r="C414" s="3" t="s">
        <v>544</v>
      </c>
      <c r="D414" s="4">
        <v>0</v>
      </c>
      <c r="H414" s="4">
        <v>0</v>
      </c>
    </row>
    <row r="415" spans="2:9" ht="12" customHeight="1" outlineLevel="2">
      <c r="B415" s="19" t="s">
        <v>881</v>
      </c>
      <c r="D415" s="209"/>
      <c r="E415" s="306"/>
      <c r="F415" s="306"/>
      <c r="G415" s="209"/>
      <c r="H415" s="209"/>
      <c r="I415" s="475"/>
    </row>
    <row r="416" spans="3:10" ht="12" customHeight="1" outlineLevel="2">
      <c r="C416" s="2" t="s">
        <v>229</v>
      </c>
      <c r="E416" s="306">
        <v>960</v>
      </c>
      <c r="F416" s="306">
        <v>960</v>
      </c>
      <c r="G416" s="209">
        <v>960</v>
      </c>
      <c r="H416" s="209"/>
      <c r="I416" s="475"/>
      <c r="J416" s="209"/>
    </row>
    <row r="417" spans="2:10" ht="12" customHeight="1" outlineLevel="2">
      <c r="B417" s="3"/>
      <c r="C417" s="2" t="s">
        <v>882</v>
      </c>
      <c r="E417" s="306">
        <v>475</v>
      </c>
      <c r="F417" s="306">
        <v>475</v>
      </c>
      <c r="G417" s="209">
        <v>475</v>
      </c>
      <c r="H417" s="209"/>
      <c r="I417" s="475"/>
      <c r="J417" s="209"/>
    </row>
    <row r="418" spans="2:10" ht="12" customHeight="1" outlineLevel="2">
      <c r="B418" s="3"/>
      <c r="C418" s="2" t="s">
        <v>883</v>
      </c>
      <c r="E418" s="306">
        <v>1500</v>
      </c>
      <c r="F418" s="306">
        <v>1500</v>
      </c>
      <c r="G418" s="209">
        <v>1500</v>
      </c>
      <c r="H418" s="209"/>
      <c r="I418" s="475"/>
      <c r="J418" s="209"/>
    </row>
    <row r="419" spans="1:12" s="244" customFormat="1" ht="12" customHeight="1" outlineLevel="2">
      <c r="A419" s="473"/>
      <c r="B419" s="242"/>
      <c r="C419" s="473" t="s">
        <v>884</v>
      </c>
      <c r="D419" s="243"/>
      <c r="E419" s="306">
        <v>500</v>
      </c>
      <c r="F419" s="306">
        <v>500</v>
      </c>
      <c r="G419" s="476">
        <v>500</v>
      </c>
      <c r="H419" s="476"/>
      <c r="I419" s="477"/>
      <c r="J419" s="476"/>
      <c r="K419" s="473">
        <v>2080</v>
      </c>
      <c r="L419" s="244" t="s">
        <v>1072</v>
      </c>
    </row>
    <row r="420" spans="1:12" s="295" customFormat="1" ht="27" customHeight="1" outlineLevel="2">
      <c r="A420" s="478"/>
      <c r="B420" s="208"/>
      <c r="C420" s="478" t="s">
        <v>240</v>
      </c>
      <c r="D420" s="479"/>
      <c r="E420" s="307">
        <v>200</v>
      </c>
      <c r="F420" s="307">
        <v>200</v>
      </c>
      <c r="G420" s="480">
        <v>200</v>
      </c>
      <c r="H420" s="480" t="s">
        <v>1076</v>
      </c>
      <c r="I420" s="481" t="s">
        <v>1074</v>
      </c>
      <c r="J420" s="480" t="s">
        <v>1075</v>
      </c>
      <c r="K420" s="478">
        <v>8</v>
      </c>
      <c r="L420" s="295" t="s">
        <v>1073</v>
      </c>
    </row>
    <row r="421" spans="1:12" s="30" customFormat="1" ht="12" customHeight="1" outlineLevel="2">
      <c r="A421" s="207"/>
      <c r="B421" s="206"/>
      <c r="C421" s="207" t="s">
        <v>913</v>
      </c>
      <c r="D421" s="60"/>
      <c r="E421" s="306">
        <f>H421*I421*J421*K421</f>
        <v>76651.12000000001</v>
      </c>
      <c r="F421" s="306">
        <v>76651.12</v>
      </c>
      <c r="G421" s="210">
        <v>76651.12</v>
      </c>
      <c r="H421" s="482">
        <f>'Work Sheet'!C5</f>
        <v>7</v>
      </c>
      <c r="I421" s="483">
        <v>10.529</v>
      </c>
      <c r="J421" s="210">
        <v>4</v>
      </c>
      <c r="K421" s="210">
        <f>K419/K420</f>
        <v>260</v>
      </c>
      <c r="L421" s="30" t="s">
        <v>1077</v>
      </c>
    </row>
    <row r="422" spans="1:11" s="295" customFormat="1" ht="37.5" customHeight="1" outlineLevel="2">
      <c r="A422" s="478"/>
      <c r="B422" s="208"/>
      <c r="C422" s="478"/>
      <c r="D422" s="479"/>
      <c r="E422" s="307"/>
      <c r="F422" s="307"/>
      <c r="G422" s="480"/>
      <c r="H422" s="484" t="s">
        <v>1078</v>
      </c>
      <c r="I422" s="481" t="s">
        <v>1079</v>
      </c>
      <c r="J422" s="480" t="s">
        <v>1080</v>
      </c>
      <c r="K422" s="480"/>
    </row>
    <row r="423" spans="1:11" s="28" customFormat="1" ht="12" customHeight="1" outlineLevel="2">
      <c r="A423" s="19"/>
      <c r="B423" s="485"/>
      <c r="C423" s="19" t="s">
        <v>914</v>
      </c>
      <c r="D423" s="304"/>
      <c r="E423" s="306">
        <f>H423*I423*J423</f>
        <v>3360</v>
      </c>
      <c r="F423" s="306">
        <v>3360</v>
      </c>
      <c r="G423" s="306">
        <v>3360</v>
      </c>
      <c r="H423" s="306">
        <v>40</v>
      </c>
      <c r="I423" s="486">
        <f>H421</f>
        <v>7</v>
      </c>
      <c r="J423" s="306">
        <v>12</v>
      </c>
      <c r="K423" s="19"/>
    </row>
    <row r="424" spans="1:11" s="30" customFormat="1" ht="12" customHeight="1" outlineLevel="2">
      <c r="A424" s="207"/>
      <c r="B424" s="206"/>
      <c r="C424" s="207" t="s">
        <v>513</v>
      </c>
      <c r="D424" s="60"/>
      <c r="E424" s="306">
        <f>H424*I424*J424</f>
        <v>400</v>
      </c>
      <c r="F424" s="306">
        <v>400</v>
      </c>
      <c r="G424" s="210">
        <v>400</v>
      </c>
      <c r="H424" s="210">
        <v>250</v>
      </c>
      <c r="I424" s="487">
        <f>H421+1</f>
        <v>8</v>
      </c>
      <c r="J424" s="210">
        <v>0.2</v>
      </c>
      <c r="K424" s="207"/>
    </row>
    <row r="425" spans="1:11" s="30" customFormat="1" ht="12" customHeight="1" outlineLevel="2">
      <c r="A425" s="207"/>
      <c r="B425" s="206"/>
      <c r="C425" s="207" t="s">
        <v>237</v>
      </c>
      <c r="D425" s="60"/>
      <c r="E425" s="306">
        <f>H425*I425</f>
        <v>3200</v>
      </c>
      <c r="F425" s="306">
        <v>3200</v>
      </c>
      <c r="G425" s="210">
        <v>3200</v>
      </c>
      <c r="H425" s="210">
        <v>400</v>
      </c>
      <c r="I425" s="487">
        <f>I424</f>
        <v>8</v>
      </c>
      <c r="J425" s="210"/>
      <c r="K425" s="207"/>
    </row>
    <row r="426" spans="2:11" ht="12" customHeight="1" outlineLevel="2">
      <c r="B426" s="3"/>
      <c r="C426" s="2" t="s">
        <v>1171</v>
      </c>
      <c r="E426" s="306">
        <v>250</v>
      </c>
      <c r="F426" s="306">
        <v>250</v>
      </c>
      <c r="G426" s="209">
        <v>250</v>
      </c>
      <c r="H426" s="209"/>
      <c r="I426" s="475"/>
      <c r="J426" s="209"/>
      <c r="K426" s="473"/>
    </row>
    <row r="427" spans="2:10" ht="12" customHeight="1" outlineLevel="2">
      <c r="B427" s="3"/>
      <c r="C427" s="2" t="s">
        <v>885</v>
      </c>
      <c r="E427" s="306">
        <f>H427*I427</f>
        <v>300</v>
      </c>
      <c r="F427" s="306">
        <v>300</v>
      </c>
      <c r="G427" s="209">
        <v>300</v>
      </c>
      <c r="H427" s="209">
        <v>75</v>
      </c>
      <c r="I427" s="475">
        <v>4</v>
      </c>
      <c r="J427" s="209"/>
    </row>
    <row r="428" spans="2:3" ht="12" customHeight="1" outlineLevel="2">
      <c r="B428" s="3"/>
      <c r="C428" s="3"/>
    </row>
    <row r="429" spans="2:7" ht="12" customHeight="1" outlineLevel="2">
      <c r="B429" s="3"/>
      <c r="C429" s="3" t="str">
        <f>B415</f>
        <v>COMMODITIES</v>
      </c>
      <c r="D429" s="4" t="s">
        <v>1081</v>
      </c>
      <c r="E429" s="304">
        <f>SUM(E375:E428)</f>
        <v>132935.12</v>
      </c>
      <c r="F429" s="304">
        <v>132935.12</v>
      </c>
      <c r="G429" s="4">
        <v>132935.12</v>
      </c>
    </row>
    <row r="430" spans="2:3" ht="12" customHeight="1" outlineLevel="2">
      <c r="B430" s="3"/>
      <c r="C430" s="3"/>
    </row>
    <row r="431" spans="2:8" ht="12" customHeight="1" outlineLevel="2">
      <c r="B431" s="19" t="s">
        <v>886</v>
      </c>
      <c r="D431" s="209"/>
      <c r="E431" s="306"/>
      <c r="F431" s="306"/>
      <c r="G431" s="209"/>
      <c r="H431" s="209"/>
    </row>
    <row r="432" spans="3:9" ht="12" customHeight="1" outlineLevel="2">
      <c r="C432" s="2" t="s">
        <v>887</v>
      </c>
      <c r="E432" s="306">
        <f>54*12</f>
        <v>648</v>
      </c>
      <c r="F432" s="306">
        <v>648</v>
      </c>
      <c r="G432" s="209">
        <v>648</v>
      </c>
      <c r="H432" s="209">
        <v>54</v>
      </c>
      <c r="I432" s="475">
        <v>12</v>
      </c>
    </row>
    <row r="433" spans="2:9" ht="12" customHeight="1" outlineLevel="2">
      <c r="B433" s="3"/>
      <c r="C433" s="2" t="s">
        <v>888</v>
      </c>
      <c r="E433" s="306">
        <f>225*12</f>
        <v>2700</v>
      </c>
      <c r="F433" s="306">
        <v>2700</v>
      </c>
      <c r="G433" s="209">
        <v>2700</v>
      </c>
      <c r="H433" s="209">
        <v>225</v>
      </c>
      <c r="I433" s="475">
        <v>12</v>
      </c>
    </row>
    <row r="434" spans="2:9" ht="12" customHeight="1" outlineLevel="2">
      <c r="B434" s="3"/>
      <c r="C434" s="2" t="s">
        <v>889</v>
      </c>
      <c r="E434" s="306">
        <v>75000</v>
      </c>
      <c r="F434" s="306">
        <v>75000</v>
      </c>
      <c r="G434" s="209">
        <v>75000</v>
      </c>
      <c r="H434" s="209"/>
      <c r="I434" s="475"/>
    </row>
    <row r="435" spans="2:9" ht="12" customHeight="1" outlineLevel="2">
      <c r="B435" s="3"/>
      <c r="C435" s="2" t="s">
        <v>901</v>
      </c>
      <c r="E435" s="306">
        <v>20000</v>
      </c>
      <c r="F435" s="306">
        <v>20000</v>
      </c>
      <c r="G435" s="209">
        <v>20000</v>
      </c>
      <c r="H435" s="209"/>
      <c r="I435" s="475"/>
    </row>
    <row r="436" spans="2:9" ht="12" customHeight="1" outlineLevel="2">
      <c r="B436" s="3"/>
      <c r="C436" s="2" t="s">
        <v>890</v>
      </c>
      <c r="E436" s="306">
        <v>350</v>
      </c>
      <c r="F436" s="306">
        <v>350</v>
      </c>
      <c r="G436" s="209">
        <v>350</v>
      </c>
      <c r="H436" s="209"/>
      <c r="I436" s="475"/>
    </row>
    <row r="437" spans="2:9" ht="12" customHeight="1" outlineLevel="2">
      <c r="B437" s="3"/>
      <c r="C437" s="2" t="s">
        <v>891</v>
      </c>
      <c r="E437" s="306"/>
      <c r="F437" s="306"/>
      <c r="G437" s="209"/>
      <c r="H437" s="209"/>
      <c r="I437" s="475"/>
    </row>
    <row r="438" spans="1:11" s="30" customFormat="1" ht="12" customHeight="1" outlineLevel="2">
      <c r="A438" s="207"/>
      <c r="B438" s="206"/>
      <c r="C438" s="207" t="s">
        <v>892</v>
      </c>
      <c r="D438" s="60"/>
      <c r="E438" s="306">
        <v>2000</v>
      </c>
      <c r="F438" s="306">
        <v>2000</v>
      </c>
      <c r="G438" s="210">
        <v>4000</v>
      </c>
      <c r="H438" s="210">
        <v>500</v>
      </c>
      <c r="I438" s="487">
        <f>I424</f>
        <v>8</v>
      </c>
      <c r="J438" s="207"/>
      <c r="K438" s="207"/>
    </row>
    <row r="439" spans="2:9" ht="12" customHeight="1" outlineLevel="2">
      <c r="B439" s="3"/>
      <c r="C439" s="2" t="s">
        <v>893</v>
      </c>
      <c r="E439" s="306">
        <v>250</v>
      </c>
      <c r="F439" s="306">
        <v>250</v>
      </c>
      <c r="G439" s="209">
        <v>250</v>
      </c>
      <c r="H439" s="209"/>
      <c r="I439" s="475"/>
    </row>
    <row r="440" spans="2:9" ht="12" customHeight="1" outlineLevel="2">
      <c r="B440" s="3"/>
      <c r="C440" s="2" t="s">
        <v>894</v>
      </c>
      <c r="E440" s="306"/>
      <c r="F440" s="306"/>
      <c r="G440" s="209"/>
      <c r="H440" s="209"/>
      <c r="I440" s="475"/>
    </row>
    <row r="441" spans="2:9" ht="12" customHeight="1" outlineLevel="2">
      <c r="B441" s="3"/>
      <c r="C441" s="19" t="s">
        <v>396</v>
      </c>
      <c r="E441" s="210">
        <f>-'Work Sheet'!E15</f>
        <v>8581.39</v>
      </c>
      <c r="F441" s="306"/>
      <c r="G441" s="209"/>
      <c r="H441" s="209"/>
      <c r="I441" s="475"/>
    </row>
    <row r="442" spans="2:9" ht="12" customHeight="1" outlineLevel="2">
      <c r="B442" s="3"/>
      <c r="C442" s="19" t="s">
        <v>1101</v>
      </c>
      <c r="E442" s="306">
        <f>'Work Sheet'!C68</f>
        <v>0</v>
      </c>
      <c r="F442" s="306">
        <v>0</v>
      </c>
      <c r="G442" s="209">
        <v>0</v>
      </c>
      <c r="H442" s="209"/>
      <c r="I442" s="475"/>
    </row>
    <row r="443" spans="2:9" ht="12" customHeight="1" outlineLevel="2">
      <c r="B443" s="3"/>
      <c r="C443" s="2" t="s">
        <v>895</v>
      </c>
      <c r="E443" s="306">
        <v>2400</v>
      </c>
      <c r="F443" s="306">
        <v>2400</v>
      </c>
      <c r="G443" s="209">
        <v>2400</v>
      </c>
      <c r="H443" s="209"/>
      <c r="I443" s="475"/>
    </row>
    <row r="444" spans="2:9" ht="12" customHeight="1" outlineLevel="2">
      <c r="B444" s="3"/>
      <c r="C444" s="2" t="s">
        <v>896</v>
      </c>
      <c r="E444" s="306">
        <v>1500</v>
      </c>
      <c r="F444" s="306">
        <v>1500</v>
      </c>
      <c r="G444" s="209">
        <v>1500</v>
      </c>
      <c r="H444" s="209"/>
      <c r="I444" s="475"/>
    </row>
    <row r="445" spans="2:9" ht="12" customHeight="1" outlineLevel="2">
      <c r="B445" s="3"/>
      <c r="C445" s="2" t="s">
        <v>897</v>
      </c>
      <c r="E445" s="306"/>
      <c r="F445" s="306"/>
      <c r="G445" s="209"/>
      <c r="H445" s="209"/>
      <c r="I445" s="475"/>
    </row>
    <row r="446" spans="2:9" ht="12" customHeight="1" outlineLevel="2">
      <c r="B446" s="3"/>
      <c r="C446" s="2" t="s">
        <v>898</v>
      </c>
      <c r="E446" s="306"/>
      <c r="F446" s="306"/>
      <c r="G446" s="209"/>
      <c r="H446" s="209"/>
      <c r="I446" s="475"/>
    </row>
    <row r="447" spans="2:9" ht="12" customHeight="1" outlineLevel="2">
      <c r="B447" s="3"/>
      <c r="C447" s="2" t="s">
        <v>899</v>
      </c>
      <c r="E447" s="306">
        <v>750</v>
      </c>
      <c r="F447" s="306">
        <v>750</v>
      </c>
      <c r="G447" s="209">
        <v>750</v>
      </c>
      <c r="H447" s="209"/>
      <c r="I447" s="475"/>
    </row>
    <row r="448" spans="2:9" ht="12" customHeight="1" outlineLevel="2">
      <c r="B448" s="3"/>
      <c r="C448" s="19" t="s">
        <v>900</v>
      </c>
      <c r="E448" s="306">
        <v>300</v>
      </c>
      <c r="F448" s="306">
        <v>300</v>
      </c>
      <c r="G448" s="209">
        <v>300</v>
      </c>
      <c r="H448" s="209"/>
      <c r="I448" s="475"/>
    </row>
    <row r="449" spans="2:3" ht="12" customHeight="1" outlineLevel="2">
      <c r="B449" s="3"/>
      <c r="C449" s="3"/>
    </row>
    <row r="450" spans="2:7" ht="12" customHeight="1" outlineLevel="2">
      <c r="B450" s="3"/>
      <c r="C450" s="3" t="s">
        <v>915</v>
      </c>
      <c r="E450" s="304">
        <f>SUM(E432:E449)</f>
        <v>114479.39</v>
      </c>
      <c r="F450" s="304">
        <v>105898</v>
      </c>
      <c r="G450" s="4">
        <v>107898</v>
      </c>
    </row>
    <row r="451" spans="2:3" ht="12" customHeight="1" outlineLevel="2">
      <c r="B451" s="3"/>
      <c r="C451" s="3"/>
    </row>
    <row r="452" spans="1:9" s="2" customFormat="1" ht="12" customHeight="1" outlineLevel="2">
      <c r="A452" s="1" t="s">
        <v>784</v>
      </c>
      <c r="B452" s="3" t="s">
        <v>795</v>
      </c>
      <c r="C452" s="3"/>
      <c r="D452" s="4"/>
      <c r="E452" s="304">
        <f>E450+E429</f>
        <v>247414.51</v>
      </c>
      <c r="F452" s="304">
        <v>238833.12</v>
      </c>
      <c r="G452" s="4">
        <v>240833.12</v>
      </c>
      <c r="H452" s="4"/>
      <c r="I452" s="309"/>
    </row>
    <row r="453" spans="2:5" ht="12" customHeight="1" outlineLevel="2">
      <c r="B453" s="3"/>
      <c r="C453" s="3"/>
      <c r="E453" s="304">
        <f>E452+E373</f>
        <v>898838.8353735979</v>
      </c>
    </row>
    <row r="454" spans="2:3" ht="12" customHeight="1" outlineLevel="2">
      <c r="B454" s="3"/>
      <c r="C454" s="3"/>
    </row>
    <row r="455" spans="1:9" ht="12" customHeight="1" outlineLevel="2">
      <c r="A455" s="1" t="s">
        <v>785</v>
      </c>
      <c r="B455" s="1" t="s">
        <v>785</v>
      </c>
      <c r="C455" s="3"/>
      <c r="D455" s="4" t="s">
        <v>2</v>
      </c>
      <c r="E455" s="304" t="s">
        <v>3</v>
      </c>
      <c r="F455" s="304" t="s">
        <v>3</v>
      </c>
      <c r="G455" s="4" t="s">
        <v>3</v>
      </c>
      <c r="H455" s="4" t="s">
        <v>4</v>
      </c>
      <c r="I455" s="309">
        <v>0.05</v>
      </c>
    </row>
    <row r="456" spans="2:8" ht="12" customHeight="1" outlineLevel="2">
      <c r="B456" s="3" t="s">
        <v>545</v>
      </c>
      <c r="C456" s="3" t="s">
        <v>12</v>
      </c>
      <c r="D456" s="4">
        <v>2831.24</v>
      </c>
      <c r="E456" s="304">
        <v>4147</v>
      </c>
      <c r="F456" s="304">
        <v>4147</v>
      </c>
      <c r="G456" s="4">
        <v>4147</v>
      </c>
      <c r="H456" s="4">
        <v>3397.49</v>
      </c>
    </row>
    <row r="457" spans="2:9" ht="12" customHeight="1" outlineLevel="2">
      <c r="B457" s="3" t="s">
        <v>546</v>
      </c>
      <c r="C457" s="3" t="s">
        <v>547</v>
      </c>
      <c r="D457" s="4">
        <v>576</v>
      </c>
      <c r="E457" s="665">
        <v>691</v>
      </c>
      <c r="F457" s="304">
        <v>2677</v>
      </c>
      <c r="G457" s="4">
        <v>2677</v>
      </c>
      <c r="H457" s="4">
        <v>691.2</v>
      </c>
      <c r="I457" s="309">
        <f>H457*0.05+H457</f>
        <v>725.76</v>
      </c>
    </row>
    <row r="458" spans="2:9" ht="12" customHeight="1" outlineLevel="2">
      <c r="B458" s="3" t="s">
        <v>548</v>
      </c>
      <c r="C458" s="3" t="s">
        <v>549</v>
      </c>
      <c r="D458" s="4">
        <v>1352</v>
      </c>
      <c r="E458" s="304">
        <v>0</v>
      </c>
      <c r="F458" s="304">
        <v>0</v>
      </c>
      <c r="G458" s="4">
        <v>1172</v>
      </c>
      <c r="H458" s="4">
        <v>1622.4</v>
      </c>
      <c r="I458" s="309">
        <f>H458*0.05+H458</f>
        <v>1703.52</v>
      </c>
    </row>
    <row r="459" spans="1:11" s="244" customFormat="1" ht="12" customHeight="1" outlineLevel="2">
      <c r="A459" s="473"/>
      <c r="B459" s="242"/>
      <c r="C459" s="242" t="s">
        <v>1131</v>
      </c>
      <c r="D459" s="243"/>
      <c r="E459" s="665">
        <v>53200</v>
      </c>
      <c r="F459" s="60">
        <v>50000</v>
      </c>
      <c r="G459" s="243">
        <v>45000</v>
      </c>
      <c r="H459" s="243"/>
      <c r="I459" s="474"/>
      <c r="J459" s="473"/>
      <c r="K459" s="473"/>
    </row>
    <row r="460" spans="2:8" ht="12" customHeight="1" outlineLevel="2">
      <c r="B460" s="3" t="s">
        <v>550</v>
      </c>
      <c r="C460" s="3" t="s">
        <v>551</v>
      </c>
      <c r="D460" s="4">
        <v>180</v>
      </c>
      <c r="E460" s="665">
        <f>125*30</f>
        <v>3750</v>
      </c>
      <c r="F460" s="304">
        <v>4000</v>
      </c>
      <c r="G460" s="4">
        <v>4000</v>
      </c>
      <c r="H460" s="4">
        <v>216</v>
      </c>
    </row>
    <row r="461" spans="2:8" ht="12" customHeight="1" outlineLevel="2">
      <c r="B461" s="3" t="s">
        <v>552</v>
      </c>
      <c r="C461" s="3" t="s">
        <v>553</v>
      </c>
      <c r="D461" s="4">
        <v>0</v>
      </c>
      <c r="E461" s="665">
        <v>5000</v>
      </c>
      <c r="F461" s="304">
        <v>8016</v>
      </c>
      <c r="G461" s="4">
        <v>8016</v>
      </c>
      <c r="H461" s="4">
        <v>0</v>
      </c>
    </row>
    <row r="462" spans="2:8" ht="12" customHeight="1" outlineLevel="2">
      <c r="B462" s="3" t="s">
        <v>554</v>
      </c>
      <c r="C462" s="3" t="s">
        <v>555</v>
      </c>
      <c r="D462" s="4">
        <v>1200</v>
      </c>
      <c r="E462" s="665">
        <v>1500</v>
      </c>
      <c r="F462" s="304">
        <v>1400</v>
      </c>
      <c r="G462" s="4">
        <v>1400</v>
      </c>
      <c r="H462" s="4">
        <v>1440</v>
      </c>
    </row>
    <row r="463" spans="1:9" s="2" customFormat="1" ht="12" customHeight="1" outlineLevel="2">
      <c r="A463" s="1" t="s">
        <v>785</v>
      </c>
      <c r="B463" s="3" t="s">
        <v>799</v>
      </c>
      <c r="C463" s="3"/>
      <c r="D463" s="4"/>
      <c r="E463" s="304">
        <f>SUM(E456:E462)</f>
        <v>68288</v>
      </c>
      <c r="F463" s="304">
        <v>70240</v>
      </c>
      <c r="G463" s="4">
        <v>66412</v>
      </c>
      <c r="H463" s="4"/>
      <c r="I463" s="309"/>
    </row>
    <row r="464" spans="2:5" ht="12" customHeight="1" outlineLevel="2">
      <c r="B464" s="3"/>
      <c r="C464" s="3"/>
      <c r="E464" s="665">
        <f>-F463+E463</f>
        <v>-1952</v>
      </c>
    </row>
    <row r="465" spans="2:3" ht="12" customHeight="1" outlineLevel="2">
      <c r="B465" s="3"/>
      <c r="C465" s="3"/>
    </row>
    <row r="466" spans="1:11" s="30" customFormat="1" ht="12" customHeight="1" outlineLevel="2">
      <c r="A466" s="207"/>
      <c r="B466" s="206" t="s">
        <v>556</v>
      </c>
      <c r="C466" s="206" t="s">
        <v>305</v>
      </c>
      <c r="D466" s="60">
        <v>12656</v>
      </c>
      <c r="E466" s="304">
        <v>0</v>
      </c>
      <c r="F466" s="304">
        <v>0</v>
      </c>
      <c r="G466" s="60">
        <v>0</v>
      </c>
      <c r="H466" s="60">
        <v>15187.2</v>
      </c>
      <c r="I466" s="375">
        <f>H466*0.05+H466</f>
        <v>15946.560000000001</v>
      </c>
      <c r="J466" s="207"/>
      <c r="K466" s="207"/>
    </row>
    <row r="467" spans="1:11" s="30" customFormat="1" ht="12" customHeight="1" outlineLevel="2">
      <c r="A467" s="207"/>
      <c r="B467" s="206" t="s">
        <v>557</v>
      </c>
      <c r="C467" s="206" t="s">
        <v>307</v>
      </c>
      <c r="D467" s="60">
        <v>0</v>
      </c>
      <c r="E467" s="304">
        <v>0</v>
      </c>
      <c r="F467" s="304">
        <v>0</v>
      </c>
      <c r="G467" s="60">
        <v>0</v>
      </c>
      <c r="H467" s="60">
        <v>0</v>
      </c>
      <c r="I467" s="375"/>
      <c r="J467" s="207"/>
      <c r="K467" s="207"/>
    </row>
    <row r="468" spans="1:11" s="30" customFormat="1" ht="12" customHeight="1" outlineLevel="2">
      <c r="A468" s="207"/>
      <c r="B468" s="206" t="s">
        <v>558</v>
      </c>
      <c r="C468" s="206" t="s">
        <v>344</v>
      </c>
      <c r="D468" s="60">
        <v>0</v>
      </c>
      <c r="E468" s="304">
        <v>0</v>
      </c>
      <c r="F468" s="304">
        <v>0</v>
      </c>
      <c r="G468" s="60">
        <v>0</v>
      </c>
      <c r="H468" s="60">
        <v>0</v>
      </c>
      <c r="I468" s="375"/>
      <c r="J468" s="207"/>
      <c r="K468" s="207"/>
    </row>
    <row r="469" spans="1:11" s="30" customFormat="1" ht="12" customHeight="1" outlineLevel="2">
      <c r="A469" s="207"/>
      <c r="B469" s="206" t="s">
        <v>559</v>
      </c>
      <c r="C469" s="206" t="s">
        <v>309</v>
      </c>
      <c r="D469" s="60">
        <v>786.89</v>
      </c>
      <c r="E469" s="304">
        <v>0</v>
      </c>
      <c r="F469" s="304">
        <v>0</v>
      </c>
      <c r="G469" s="60">
        <v>0</v>
      </c>
      <c r="H469" s="60">
        <v>944.27</v>
      </c>
      <c r="I469" s="375">
        <f>H469*0.05+H469</f>
        <v>991.4834999999999</v>
      </c>
      <c r="J469" s="207"/>
      <c r="K469" s="207"/>
    </row>
    <row r="470" spans="1:11" s="30" customFormat="1" ht="12" customHeight="1" outlineLevel="2">
      <c r="A470" s="207"/>
      <c r="B470" s="206" t="s">
        <v>560</v>
      </c>
      <c r="C470" s="206" t="s">
        <v>311</v>
      </c>
      <c r="D470" s="60">
        <v>184</v>
      </c>
      <c r="E470" s="304">
        <v>0</v>
      </c>
      <c r="F470" s="304">
        <v>0</v>
      </c>
      <c r="G470" s="60">
        <v>0</v>
      </c>
      <c r="H470" s="60">
        <v>220.8</v>
      </c>
      <c r="I470" s="375">
        <f>H470*0.05+H470</f>
        <v>231.84</v>
      </c>
      <c r="J470" s="207"/>
      <c r="K470" s="207"/>
    </row>
    <row r="471" spans="1:11" s="30" customFormat="1" ht="12" customHeight="1" outlineLevel="2">
      <c r="A471" s="207"/>
      <c r="B471" s="206" t="s">
        <v>561</v>
      </c>
      <c r="C471" s="206" t="s">
        <v>313</v>
      </c>
      <c r="D471" s="60">
        <v>401.5</v>
      </c>
      <c r="E471" s="304">
        <v>0</v>
      </c>
      <c r="F471" s="304">
        <v>0</v>
      </c>
      <c r="G471" s="60">
        <v>0</v>
      </c>
      <c r="H471" s="60">
        <v>481.8</v>
      </c>
      <c r="I471" s="375">
        <f>H471*0.05+H471</f>
        <v>505.89</v>
      </c>
      <c r="J471" s="207"/>
      <c r="K471" s="207"/>
    </row>
    <row r="472" spans="2:8" ht="12" customHeight="1" outlineLevel="2">
      <c r="B472" s="3" t="s">
        <v>562</v>
      </c>
      <c r="C472" s="3" t="s">
        <v>315</v>
      </c>
      <c r="D472" s="4">
        <v>0</v>
      </c>
      <c r="E472" s="304">
        <v>0</v>
      </c>
      <c r="F472" s="304">
        <v>0</v>
      </c>
      <c r="G472" s="4">
        <v>0</v>
      </c>
      <c r="H472" s="4">
        <v>0</v>
      </c>
    </row>
    <row r="473" spans="2:8" ht="12" customHeight="1" outlineLevel="2">
      <c r="B473" s="3" t="s">
        <v>563</v>
      </c>
      <c r="C473" s="3" t="s">
        <v>317</v>
      </c>
      <c r="D473" s="4">
        <v>0</v>
      </c>
      <c r="E473" s="304">
        <v>0</v>
      </c>
      <c r="F473" s="304">
        <v>0</v>
      </c>
      <c r="G473" s="4">
        <v>0</v>
      </c>
      <c r="H473" s="4">
        <v>0</v>
      </c>
    </row>
    <row r="474" spans="1:11" s="30" customFormat="1" ht="12" customHeight="1" outlineLevel="2">
      <c r="A474" s="207"/>
      <c r="B474" s="206" t="s">
        <v>564</v>
      </c>
      <c r="C474" s="206" t="s">
        <v>353</v>
      </c>
      <c r="D474" s="60">
        <v>12.71</v>
      </c>
      <c r="E474" s="304">
        <v>0</v>
      </c>
      <c r="F474" s="304">
        <v>0</v>
      </c>
      <c r="G474" s="60">
        <v>0</v>
      </c>
      <c r="H474" s="60">
        <v>15.25</v>
      </c>
      <c r="I474" s="375">
        <f>H474*0.05+H474</f>
        <v>16.0125</v>
      </c>
      <c r="J474" s="207"/>
      <c r="K474" s="207"/>
    </row>
    <row r="475" spans="2:8" ht="12" customHeight="1" outlineLevel="2">
      <c r="B475" s="3" t="s">
        <v>565</v>
      </c>
      <c r="C475" s="3" t="s">
        <v>319</v>
      </c>
      <c r="D475" s="4">
        <v>0</v>
      </c>
      <c r="E475" s="304">
        <v>0</v>
      </c>
      <c r="F475" s="304">
        <v>0</v>
      </c>
      <c r="G475" s="4">
        <v>0</v>
      </c>
      <c r="H475" s="4">
        <v>0</v>
      </c>
    </row>
    <row r="476" spans="2:8" ht="12" customHeight="1" outlineLevel="2">
      <c r="B476" s="3" t="s">
        <v>566</v>
      </c>
      <c r="C476" s="3" t="s">
        <v>214</v>
      </c>
      <c r="D476" s="4">
        <v>0</v>
      </c>
      <c r="E476" s="304">
        <v>0</v>
      </c>
      <c r="F476" s="304">
        <v>0</v>
      </c>
      <c r="G476" s="4">
        <v>0</v>
      </c>
      <c r="H476" s="4">
        <v>0</v>
      </c>
    </row>
    <row r="477" spans="2:8" ht="21.75" customHeight="1" outlineLevel="2">
      <c r="B477" s="3" t="s">
        <v>567</v>
      </c>
      <c r="C477" s="3" t="s">
        <v>216</v>
      </c>
      <c r="D477" s="4">
        <v>0</v>
      </c>
      <c r="E477" s="304">
        <v>0</v>
      </c>
      <c r="F477" s="304">
        <v>0</v>
      </c>
      <c r="G477" s="4">
        <v>0</v>
      </c>
      <c r="H477" s="4">
        <v>0</v>
      </c>
    </row>
    <row r="478" spans="2:8" ht="12" customHeight="1" outlineLevel="2">
      <c r="B478" s="3" t="s">
        <v>568</v>
      </c>
      <c r="C478" s="3" t="s">
        <v>218</v>
      </c>
      <c r="D478" s="4">
        <v>0</v>
      </c>
      <c r="E478" s="304">
        <v>0</v>
      </c>
      <c r="F478" s="304">
        <v>0</v>
      </c>
      <c r="G478" s="4">
        <v>0</v>
      </c>
      <c r="H478" s="4">
        <v>0</v>
      </c>
    </row>
    <row r="479" spans="1:11" s="30" customFormat="1" ht="12" customHeight="1" outlineLevel="2">
      <c r="A479" s="207"/>
      <c r="B479" s="206" t="s">
        <v>569</v>
      </c>
      <c r="C479" s="206" t="s">
        <v>224</v>
      </c>
      <c r="D479" s="60">
        <v>60.14</v>
      </c>
      <c r="E479" s="304">
        <v>0</v>
      </c>
      <c r="F479" s="304">
        <v>0</v>
      </c>
      <c r="G479" s="60">
        <v>0</v>
      </c>
      <c r="H479" s="60">
        <v>72.17</v>
      </c>
      <c r="I479" s="375"/>
      <c r="J479" s="207"/>
      <c r="K479" s="207"/>
    </row>
    <row r="480" spans="2:8" ht="12" customHeight="1" outlineLevel="2">
      <c r="B480" s="3" t="s">
        <v>570</v>
      </c>
      <c r="C480" s="3" t="s">
        <v>183</v>
      </c>
      <c r="D480" s="4">
        <v>0</v>
      </c>
      <c r="E480" s="304">
        <v>0</v>
      </c>
      <c r="F480" s="304">
        <v>0</v>
      </c>
      <c r="G480" s="4">
        <v>0</v>
      </c>
      <c r="H480" s="4">
        <v>0</v>
      </c>
    </row>
    <row r="481" spans="2:8" ht="12" customHeight="1" outlineLevel="2">
      <c r="B481" s="3" t="s">
        <v>571</v>
      </c>
      <c r="C481" s="3" t="s">
        <v>572</v>
      </c>
      <c r="D481" s="4">
        <v>0</v>
      </c>
      <c r="E481" s="304">
        <v>0</v>
      </c>
      <c r="F481" s="304">
        <v>0</v>
      </c>
      <c r="G481" s="4">
        <v>0</v>
      </c>
      <c r="H481" s="4">
        <v>0</v>
      </c>
    </row>
    <row r="482" spans="2:8" ht="12" customHeight="1" outlineLevel="2">
      <c r="B482" s="3" t="s">
        <v>573</v>
      </c>
      <c r="C482" s="3" t="s">
        <v>574</v>
      </c>
      <c r="D482" s="4">
        <v>0</v>
      </c>
      <c r="E482" s="304">
        <v>0</v>
      </c>
      <c r="F482" s="304">
        <v>0</v>
      </c>
      <c r="G482" s="4">
        <v>0</v>
      </c>
      <c r="H482" s="4">
        <v>0</v>
      </c>
    </row>
    <row r="483" spans="2:8" ht="21.75" customHeight="1" outlineLevel="2">
      <c r="B483" s="3" t="s">
        <v>575</v>
      </c>
      <c r="C483" s="3" t="s">
        <v>576</v>
      </c>
      <c r="D483" s="4">
        <v>0</v>
      </c>
      <c r="E483" s="304">
        <v>0</v>
      </c>
      <c r="F483" s="304">
        <v>0</v>
      </c>
      <c r="G483" s="4">
        <v>0</v>
      </c>
      <c r="H483" s="4">
        <v>0</v>
      </c>
    </row>
    <row r="484" spans="1:11" s="30" customFormat="1" ht="12" customHeight="1" outlineLevel="2">
      <c r="A484" s="207"/>
      <c r="B484" s="206" t="s">
        <v>577</v>
      </c>
      <c r="C484" s="206" t="s">
        <v>191</v>
      </c>
      <c r="D484" s="60">
        <v>92</v>
      </c>
      <c r="E484" s="304">
        <v>0</v>
      </c>
      <c r="F484" s="304">
        <v>0</v>
      </c>
      <c r="G484" s="60">
        <v>0</v>
      </c>
      <c r="H484" s="60">
        <v>110.4</v>
      </c>
      <c r="I484" s="375"/>
      <c r="J484" s="207"/>
      <c r="K484" s="207"/>
    </row>
    <row r="485" spans="2:8" ht="12" customHeight="1" outlineLevel="2">
      <c r="B485" s="3" t="s">
        <v>578</v>
      </c>
      <c r="C485" s="3" t="s">
        <v>235</v>
      </c>
      <c r="D485" s="4">
        <v>0</v>
      </c>
      <c r="E485" s="304">
        <v>0</v>
      </c>
      <c r="F485" s="304">
        <v>0</v>
      </c>
      <c r="G485" s="4">
        <v>0</v>
      </c>
      <c r="H485" s="4">
        <v>0</v>
      </c>
    </row>
    <row r="486" spans="2:8" ht="12" customHeight="1" outlineLevel="2">
      <c r="B486" s="3" t="s">
        <v>579</v>
      </c>
      <c r="C486" s="3" t="s">
        <v>237</v>
      </c>
      <c r="D486" s="4">
        <v>0</v>
      </c>
      <c r="E486" s="304">
        <v>0</v>
      </c>
      <c r="F486" s="304">
        <v>0</v>
      </c>
      <c r="G486" s="4">
        <v>0</v>
      </c>
      <c r="H486" s="4">
        <v>0</v>
      </c>
    </row>
    <row r="487" spans="2:8" ht="12" customHeight="1" outlineLevel="2">
      <c r="B487" s="3" t="s">
        <v>580</v>
      </c>
      <c r="C487" s="3" t="s">
        <v>581</v>
      </c>
      <c r="D487" s="4">
        <v>0</v>
      </c>
      <c r="E487" s="304">
        <v>0</v>
      </c>
      <c r="F487" s="304">
        <v>0</v>
      </c>
      <c r="G487" s="4">
        <v>0</v>
      </c>
      <c r="H487" s="4">
        <v>0</v>
      </c>
    </row>
    <row r="488" spans="2:8" ht="12" customHeight="1" outlineLevel="2">
      <c r="B488" s="3" t="s">
        <v>582</v>
      </c>
      <c r="C488" s="3" t="s">
        <v>207</v>
      </c>
      <c r="D488" s="4">
        <v>0</v>
      </c>
      <c r="E488" s="304">
        <v>0</v>
      </c>
      <c r="F488" s="304">
        <v>0</v>
      </c>
      <c r="G488" s="4">
        <v>0</v>
      </c>
      <c r="H488" s="4">
        <v>0</v>
      </c>
    </row>
    <row r="489" spans="2:9" ht="12" customHeight="1" outlineLevel="2">
      <c r="B489" s="3" t="s">
        <v>583</v>
      </c>
      <c r="C489" s="3" t="s">
        <v>305</v>
      </c>
      <c r="D489" s="4">
        <v>20473.6</v>
      </c>
      <c r="E489" s="304">
        <f>J751</f>
        <v>85387.49133999998</v>
      </c>
      <c r="F489" s="304">
        <v>85387.49133999998</v>
      </c>
      <c r="G489" s="4">
        <v>84374.95124</v>
      </c>
      <c r="H489" s="4">
        <v>24568.32</v>
      </c>
      <c r="I489" s="309">
        <f>H489*0.05+H489</f>
        <v>25796.736</v>
      </c>
    </row>
    <row r="490" spans="2:8" ht="12" customHeight="1" outlineLevel="2">
      <c r="B490" s="3" t="s">
        <v>584</v>
      </c>
      <c r="C490" s="3" t="s">
        <v>879</v>
      </c>
      <c r="D490" s="4">
        <v>0</v>
      </c>
      <c r="E490" s="304">
        <v>0</v>
      </c>
      <c r="F490" s="304">
        <v>0</v>
      </c>
      <c r="G490" s="4">
        <v>0</v>
      </c>
      <c r="H490" s="4">
        <v>0</v>
      </c>
    </row>
    <row r="491" spans="2:9" ht="12" customHeight="1" outlineLevel="2">
      <c r="B491" s="3" t="s">
        <v>585</v>
      </c>
      <c r="C491" s="3" t="s">
        <v>309</v>
      </c>
      <c r="D491" s="4">
        <v>1209.37</v>
      </c>
      <c r="H491" s="4">
        <v>1451.24</v>
      </c>
      <c r="I491" s="309">
        <f aca="true" t="shared" si="1" ref="I491:I499">H491*0.05+H491</f>
        <v>1523.802</v>
      </c>
    </row>
    <row r="492" spans="2:9" ht="12" customHeight="1" outlineLevel="2">
      <c r="B492" s="3" t="s">
        <v>586</v>
      </c>
      <c r="C492" s="3" t="s">
        <v>311</v>
      </c>
      <c r="D492" s="4">
        <v>282.78</v>
      </c>
      <c r="H492" s="4">
        <v>339.34</v>
      </c>
      <c r="I492" s="309">
        <f t="shared" si="1"/>
        <v>356.30699999999996</v>
      </c>
    </row>
    <row r="493" spans="2:9" ht="12" customHeight="1" outlineLevel="2">
      <c r="B493" s="3" t="s">
        <v>587</v>
      </c>
      <c r="C493" s="3" t="s">
        <v>313</v>
      </c>
      <c r="D493" s="4">
        <v>1873.38</v>
      </c>
      <c r="H493" s="4">
        <v>2248.06</v>
      </c>
      <c r="I493" s="309">
        <f t="shared" si="1"/>
        <v>2360.4629999999997</v>
      </c>
    </row>
    <row r="494" spans="2:9" ht="12" customHeight="1" outlineLevel="2">
      <c r="B494" s="3" t="s">
        <v>588</v>
      </c>
      <c r="C494" s="3" t="s">
        <v>315</v>
      </c>
      <c r="D494" s="4">
        <v>4240.3</v>
      </c>
      <c r="H494" s="4">
        <v>5088.36</v>
      </c>
      <c r="I494" s="309">
        <f t="shared" si="1"/>
        <v>5342.777999999999</v>
      </c>
    </row>
    <row r="495" spans="2:9" ht="12" customHeight="1" outlineLevel="2">
      <c r="B495" s="3" t="s">
        <v>589</v>
      </c>
      <c r="C495" s="3" t="s">
        <v>353</v>
      </c>
      <c r="D495" s="4">
        <v>20.45</v>
      </c>
      <c r="H495" s="4">
        <v>24.54</v>
      </c>
      <c r="I495" s="309">
        <f t="shared" si="1"/>
        <v>25.767</v>
      </c>
    </row>
    <row r="496" spans="2:9" ht="12" customHeight="1" outlineLevel="2">
      <c r="B496" s="3" t="s">
        <v>590</v>
      </c>
      <c r="C496" s="3" t="s">
        <v>319</v>
      </c>
      <c r="D496" s="4">
        <v>8.6</v>
      </c>
      <c r="H496" s="4">
        <v>10.32</v>
      </c>
      <c r="I496" s="309">
        <f t="shared" si="1"/>
        <v>10.836</v>
      </c>
    </row>
    <row r="497" spans="1:12" s="2" customFormat="1" ht="12" customHeight="1" outlineLevel="2">
      <c r="A497" s="1" t="s">
        <v>785</v>
      </c>
      <c r="B497" s="3" t="s">
        <v>798</v>
      </c>
      <c r="C497" s="3"/>
      <c r="D497" s="4"/>
      <c r="E497" s="305">
        <f>SUM(E489:E496)</f>
        <v>85387.49133999998</v>
      </c>
      <c r="F497" s="305">
        <v>85387.49133999998</v>
      </c>
      <c r="G497" s="58">
        <v>84374.95124</v>
      </c>
      <c r="H497" s="4"/>
      <c r="I497" s="309"/>
      <c r="L497"/>
    </row>
    <row r="498" spans="2:3" ht="12" customHeight="1" outlineLevel="2">
      <c r="B498" s="3"/>
      <c r="C498" s="3"/>
    </row>
    <row r="499" spans="2:9" ht="12" customHeight="1" outlineLevel="2">
      <c r="B499" s="3" t="s">
        <v>591</v>
      </c>
      <c r="C499" s="3" t="s">
        <v>321</v>
      </c>
      <c r="D499" s="4">
        <v>98.24</v>
      </c>
      <c r="E499" s="304">
        <v>400</v>
      </c>
      <c r="F499" s="60">
        <v>400</v>
      </c>
      <c r="G499" s="4">
        <v>80</v>
      </c>
      <c r="H499" s="4">
        <v>117.89</v>
      </c>
      <c r="I499" s="309">
        <f t="shared" si="1"/>
        <v>123.78450000000001</v>
      </c>
    </row>
    <row r="500" spans="2:8" ht="12" customHeight="1" outlineLevel="2">
      <c r="B500" s="3" t="s">
        <v>592</v>
      </c>
      <c r="C500" s="3" t="s">
        <v>501</v>
      </c>
      <c r="D500" s="4">
        <v>254.72</v>
      </c>
      <c r="E500" s="304">
        <v>0</v>
      </c>
      <c r="F500" s="304">
        <v>0</v>
      </c>
      <c r="G500" s="4">
        <v>650</v>
      </c>
      <c r="H500" s="4">
        <v>305.66</v>
      </c>
    </row>
    <row r="501" spans="1:11" s="244" customFormat="1" ht="12" customHeight="1" outlineLevel="2">
      <c r="A501" s="473"/>
      <c r="B501" s="242" t="s">
        <v>593</v>
      </c>
      <c r="C501" s="242" t="s">
        <v>200</v>
      </c>
      <c r="D501" s="243">
        <v>1422.56</v>
      </c>
      <c r="E501" s="304">
        <v>1000</v>
      </c>
      <c r="F501" s="60">
        <v>1000</v>
      </c>
      <c r="G501" s="243">
        <v>2366</v>
      </c>
      <c r="H501" s="243">
        <v>1707.07</v>
      </c>
      <c r="I501" s="474">
        <f>H501*0.05+H501</f>
        <v>1792.4234999999999</v>
      </c>
      <c r="J501" s="473"/>
      <c r="K501" s="473"/>
    </row>
    <row r="502" spans="2:11" ht="12" customHeight="1" outlineLevel="2">
      <c r="B502" s="3" t="s">
        <v>594</v>
      </c>
      <c r="C502" s="3" t="s">
        <v>595</v>
      </c>
      <c r="D502" s="4">
        <v>6976.2</v>
      </c>
      <c r="H502" s="4">
        <v>8371.44</v>
      </c>
      <c r="I502" s="309" t="s">
        <v>1176</v>
      </c>
      <c r="J502" s="2" t="s">
        <v>820</v>
      </c>
      <c r="K502" s="4">
        <v>9214</v>
      </c>
    </row>
    <row r="503" spans="2:8" ht="12" customHeight="1" outlineLevel="2">
      <c r="B503" s="3" t="s">
        <v>596</v>
      </c>
      <c r="C503" s="3" t="s">
        <v>183</v>
      </c>
      <c r="D503" s="4">
        <v>0</v>
      </c>
      <c r="E503" s="304">
        <v>0</v>
      </c>
      <c r="F503" s="304">
        <v>0</v>
      </c>
      <c r="G503" s="4">
        <v>0</v>
      </c>
      <c r="H503" s="4">
        <v>0</v>
      </c>
    </row>
    <row r="504" spans="1:11" s="244" customFormat="1" ht="12" customHeight="1" outlineLevel="2">
      <c r="A504" s="473"/>
      <c r="B504" s="242" t="s">
        <v>597</v>
      </c>
      <c r="C504" s="242" t="s">
        <v>229</v>
      </c>
      <c r="D504" s="243">
        <v>1557.19</v>
      </c>
      <c r="E504" s="304">
        <v>0</v>
      </c>
      <c r="F504" s="304">
        <v>0</v>
      </c>
      <c r="G504" s="243">
        <v>1753</v>
      </c>
      <c r="H504" s="243">
        <v>1868.63</v>
      </c>
      <c r="I504" s="474">
        <f>H504*0.05+H504</f>
        <v>1962.0615</v>
      </c>
      <c r="J504" s="473"/>
      <c r="K504" s="473"/>
    </row>
    <row r="505" spans="2:8" ht="12" customHeight="1" outlineLevel="2">
      <c r="B505" s="3" t="s">
        <v>598</v>
      </c>
      <c r="C505" s="3" t="s">
        <v>189</v>
      </c>
      <c r="D505" s="4">
        <v>0</v>
      </c>
      <c r="E505" s="304">
        <v>300</v>
      </c>
      <c r="F505" s="304">
        <v>300</v>
      </c>
      <c r="G505" s="4">
        <v>300</v>
      </c>
      <c r="H505" s="4">
        <v>0</v>
      </c>
    </row>
    <row r="506" spans="2:3" ht="12" customHeight="1" outlineLevel="2">
      <c r="B506" s="3" t="s">
        <v>1177</v>
      </c>
      <c r="C506" s="3" t="s">
        <v>1178</v>
      </c>
    </row>
    <row r="507" spans="2:8" ht="12" customHeight="1" outlineLevel="2">
      <c r="B507" s="3" t="s">
        <v>599</v>
      </c>
      <c r="C507" s="3" t="s">
        <v>335</v>
      </c>
      <c r="D507" s="4">
        <v>80</v>
      </c>
      <c r="E507" s="304">
        <v>83</v>
      </c>
      <c r="F507" s="304">
        <v>83</v>
      </c>
      <c r="G507" s="4">
        <v>83</v>
      </c>
      <c r="H507" s="4">
        <v>96</v>
      </c>
    </row>
    <row r="508" spans="2:8" ht="12" customHeight="1" outlineLevel="2">
      <c r="B508" s="3" t="s">
        <v>600</v>
      </c>
      <c r="C508" s="3" t="s">
        <v>394</v>
      </c>
      <c r="D508" s="4">
        <v>69.48</v>
      </c>
      <c r="E508" s="304">
        <v>0</v>
      </c>
      <c r="F508" s="60">
        <v>0</v>
      </c>
      <c r="G508" s="4">
        <v>379</v>
      </c>
      <c r="H508" s="4">
        <v>83.38</v>
      </c>
    </row>
    <row r="509" spans="2:11" ht="12" customHeight="1" outlineLevel="2">
      <c r="B509" s="3" t="s">
        <v>601</v>
      </c>
      <c r="C509" s="3" t="s">
        <v>194</v>
      </c>
      <c r="D509" s="4">
        <v>3813.59</v>
      </c>
      <c r="H509" s="4">
        <v>4576.31</v>
      </c>
      <c r="J509" s="2" t="s">
        <v>820</v>
      </c>
      <c r="K509" s="2">
        <v>16667</v>
      </c>
    </row>
    <row r="510" spans="2:7" ht="12" customHeight="1" outlineLevel="2">
      <c r="B510" s="3"/>
      <c r="C510" s="3" t="s">
        <v>1047</v>
      </c>
      <c r="E510" s="304">
        <f>SUM(E499:E509)</f>
        <v>1783</v>
      </c>
      <c r="F510" s="304">
        <v>1783</v>
      </c>
      <c r="G510" s="4">
        <v>5611</v>
      </c>
    </row>
    <row r="511" spans="2:3" ht="12" customHeight="1" outlineLevel="2" thickBot="1">
      <c r="B511" s="3"/>
      <c r="C511" s="3"/>
    </row>
    <row r="512" spans="2:11" ht="12" customHeight="1" outlineLevel="2">
      <c r="B512" s="3"/>
      <c r="C512" s="1" t="s">
        <v>1046</v>
      </c>
      <c r="F512" s="304" t="s">
        <v>796</v>
      </c>
      <c r="I512" s="375" t="s">
        <v>1337</v>
      </c>
      <c r="J512" s="569" t="s">
        <v>798</v>
      </c>
      <c r="K512" s="488"/>
    </row>
    <row r="513" spans="1:11" s="313" customFormat="1" ht="12" customHeight="1" outlineLevel="2" thickBot="1">
      <c r="A513" s="488"/>
      <c r="B513" s="206" t="s">
        <v>607</v>
      </c>
      <c r="C513" s="206" t="s">
        <v>608</v>
      </c>
      <c r="D513" s="60">
        <v>0</v>
      </c>
      <c r="E513" s="60">
        <f>I513-J513</f>
        <v>21736.700000000004</v>
      </c>
      <c r="F513" s="179">
        <f>I513-J513</f>
        <v>21736.700000000004</v>
      </c>
      <c r="G513" s="60">
        <v>16000</v>
      </c>
      <c r="H513" s="60">
        <v>0</v>
      </c>
      <c r="I513" s="375">
        <v>55000</v>
      </c>
      <c r="J513" s="376">
        <f>Payroll!U13</f>
        <v>33263.299999999996</v>
      </c>
      <c r="K513" s="375"/>
    </row>
    <row r="514" spans="2:10" ht="12" customHeight="1" outlineLevel="2" thickBot="1">
      <c r="B514" s="3" t="s">
        <v>602</v>
      </c>
      <c r="C514" s="3" t="s">
        <v>555</v>
      </c>
      <c r="D514" s="4">
        <v>0</v>
      </c>
      <c r="E514" s="665">
        <f>2*E462</f>
        <v>3000</v>
      </c>
      <c r="F514" s="304">
        <v>1750</v>
      </c>
      <c r="G514" s="4">
        <v>1400</v>
      </c>
      <c r="H514" s="4">
        <v>0</v>
      </c>
      <c r="I514" s="671">
        <f>I513-E459</f>
        <v>1800</v>
      </c>
      <c r="J514" s="668" t="s">
        <v>1447</v>
      </c>
    </row>
    <row r="515" spans="2:6" ht="12" customHeight="1" outlineLevel="2">
      <c r="B515" s="3"/>
      <c r="C515" s="3" t="s">
        <v>1203</v>
      </c>
      <c r="E515" s="665">
        <v>0</v>
      </c>
      <c r="F515" s="672" t="s">
        <v>1449</v>
      </c>
    </row>
    <row r="516" spans="2:8" ht="12" customHeight="1" outlineLevel="2">
      <c r="B516" s="3" t="s">
        <v>603</v>
      </c>
      <c r="C516" s="3" t="s">
        <v>604</v>
      </c>
      <c r="D516" s="4">
        <v>20</v>
      </c>
      <c r="E516" s="665">
        <v>0</v>
      </c>
      <c r="F516" s="304">
        <v>800</v>
      </c>
      <c r="G516" s="4">
        <v>800</v>
      </c>
      <c r="H516" s="4">
        <v>24</v>
      </c>
    </row>
    <row r="517" spans="1:11" s="244" customFormat="1" ht="12" customHeight="1" outlineLevel="2">
      <c r="A517" s="473"/>
      <c r="B517" s="242" t="s">
        <v>605</v>
      </c>
      <c r="C517" s="242" t="s">
        <v>606</v>
      </c>
      <c r="D517" s="243">
        <v>0</v>
      </c>
      <c r="E517" s="211">
        <v>0</v>
      </c>
      <c r="F517" s="312">
        <v>0</v>
      </c>
      <c r="G517" s="489">
        <v>550</v>
      </c>
      <c r="H517" s="243">
        <v>0</v>
      </c>
      <c r="I517" s="474"/>
      <c r="J517" s="473"/>
      <c r="K517" s="473"/>
    </row>
    <row r="518" spans="2:7" ht="12" customHeight="1" outlineLevel="2">
      <c r="B518" s="3"/>
      <c r="C518" s="3"/>
      <c r="E518" s="304">
        <f>SUM(E513:E517)</f>
        <v>24736.700000000004</v>
      </c>
      <c r="F518" s="304">
        <v>24286.7</v>
      </c>
      <c r="G518" s="4">
        <v>18750</v>
      </c>
    </row>
    <row r="519" spans="2:3" ht="12" customHeight="1" outlineLevel="2" thickBot="1">
      <c r="B519" s="3"/>
      <c r="C519" s="1" t="s">
        <v>1045</v>
      </c>
    </row>
    <row r="520" spans="1:11" s="30" customFormat="1" ht="12" customHeight="1" outlineLevel="2">
      <c r="A520" s="207"/>
      <c r="B520" s="206"/>
      <c r="C520" s="206"/>
      <c r="D520" s="60"/>
      <c r="E520" s="570">
        <v>15000</v>
      </c>
      <c r="F520" s="570">
        <v>33791</v>
      </c>
      <c r="G520" s="570">
        <v>33791</v>
      </c>
      <c r="H520" s="60"/>
      <c r="I520" s="375"/>
      <c r="J520" s="207"/>
      <c r="K520" s="207"/>
    </row>
    <row r="521" spans="1:11" s="30" customFormat="1" ht="12" customHeight="1" outlineLevel="2">
      <c r="A521" s="207"/>
      <c r="B521" s="206"/>
      <c r="C521" s="206"/>
      <c r="D521" s="60"/>
      <c r="E521" s="666" t="s">
        <v>1448</v>
      </c>
      <c r="F521" s="211"/>
      <c r="G521" s="211"/>
      <c r="H521" s="60"/>
      <c r="I521" s="375"/>
      <c r="J521" s="207"/>
      <c r="K521" s="207"/>
    </row>
    <row r="522" spans="1:11" s="30" customFormat="1" ht="12" customHeight="1" outlineLevel="2">
      <c r="A522" s="207"/>
      <c r="B522" s="206"/>
      <c r="C522" s="206"/>
      <c r="D522" s="60"/>
      <c r="E522" s="666"/>
      <c r="F522" s="669"/>
      <c r="G522" s="211"/>
      <c r="H522" s="60"/>
      <c r="I522" s="375"/>
      <c r="J522" s="207"/>
      <c r="K522" s="207"/>
    </row>
    <row r="523" spans="1:11" s="30" customFormat="1" ht="12" customHeight="1" outlineLevel="2" thickBot="1">
      <c r="A523" s="207"/>
      <c r="B523" s="206"/>
      <c r="C523" s="206" t="s">
        <v>1452</v>
      </c>
      <c r="D523" s="60"/>
      <c r="E523" s="304">
        <f>E520+E518+E510</f>
        <v>41519.700000000004</v>
      </c>
      <c r="F523" s="211"/>
      <c r="G523" s="211"/>
      <c r="H523" s="60"/>
      <c r="I523" s="375"/>
      <c r="J523" s="207"/>
      <c r="K523" s="207"/>
    </row>
    <row r="524" spans="1:9" s="2" customFormat="1" ht="12" customHeight="1" outlineLevel="2">
      <c r="A524" s="1" t="s">
        <v>785</v>
      </c>
      <c r="B524" s="3" t="s">
        <v>792</v>
      </c>
      <c r="C524" s="3"/>
      <c r="D524" s="4"/>
      <c r="E524" s="570">
        <f>E520+E518+E510+E497</f>
        <v>126907.19133999999</v>
      </c>
      <c r="F524" s="570">
        <v>59860.7</v>
      </c>
      <c r="G524" s="571">
        <v>142526.95124</v>
      </c>
      <c r="H524" s="4"/>
      <c r="I524" s="309">
        <f>SUM(I513)</f>
        <v>55000</v>
      </c>
    </row>
    <row r="525" spans="2:12" s="2" customFormat="1" ht="12" customHeight="1" outlineLevel="2">
      <c r="B525" s="3"/>
      <c r="C525" s="3"/>
      <c r="D525" s="4"/>
      <c r="E525" s="304"/>
      <c r="F525" s="304"/>
      <c r="G525" s="4"/>
      <c r="H525" s="4"/>
      <c r="I525" s="309"/>
      <c r="L525"/>
    </row>
    <row r="526" spans="1:3" ht="12" customHeight="1" outlineLevel="2">
      <c r="A526" s="1" t="s">
        <v>786</v>
      </c>
      <c r="C526" s="3"/>
    </row>
    <row r="527" spans="1:8" ht="12" customHeight="1" outlineLevel="2">
      <c r="A527" s="2" t="s">
        <v>794</v>
      </c>
      <c r="B527" s="3" t="s">
        <v>609</v>
      </c>
      <c r="C527" s="3" t="s">
        <v>610</v>
      </c>
      <c r="D527" s="4">
        <v>69457.89</v>
      </c>
      <c r="E527" s="304">
        <v>119770</v>
      </c>
      <c r="F527" s="304">
        <v>119770</v>
      </c>
      <c r="G527" s="4">
        <v>119770</v>
      </c>
      <c r="H527" s="4">
        <v>83349.47</v>
      </c>
    </row>
    <row r="528" spans="2:7" ht="12" customHeight="1" outlineLevel="2">
      <c r="B528" s="3"/>
      <c r="C528" s="3" t="s">
        <v>825</v>
      </c>
      <c r="E528" s="211">
        <f>'Budget Sum'!G46</f>
        <v>195377.91907074797</v>
      </c>
      <c r="F528" s="304">
        <v>135377.91907074797</v>
      </c>
      <c r="G528" s="4">
        <v>60946.91907074797</v>
      </c>
    </row>
    <row r="529" spans="1:12" s="2" customFormat="1" ht="12" customHeight="1" outlineLevel="2">
      <c r="A529" s="1" t="s">
        <v>786</v>
      </c>
      <c r="B529" s="3" t="s">
        <v>794</v>
      </c>
      <c r="C529" s="3"/>
      <c r="D529" s="4"/>
      <c r="E529" s="304">
        <f>E527+E528</f>
        <v>315147.919070748</v>
      </c>
      <c r="F529" s="304">
        <v>255147.91907074797</v>
      </c>
      <c r="G529" s="4">
        <v>180716.91907074797</v>
      </c>
      <c r="H529" s="4"/>
      <c r="I529" s="309"/>
      <c r="L529"/>
    </row>
    <row r="530" spans="2:3" ht="12" customHeight="1" outlineLevel="2">
      <c r="B530" s="3"/>
      <c r="C530" s="3"/>
    </row>
    <row r="531" spans="1:8" ht="12" customHeight="1" outlineLevel="2">
      <c r="A531" s="2" t="s">
        <v>1208</v>
      </c>
      <c r="B531" s="3" t="s">
        <v>611</v>
      </c>
      <c r="C531" s="3" t="s">
        <v>305</v>
      </c>
      <c r="D531" s="4">
        <v>22309.98</v>
      </c>
      <c r="E531" s="304">
        <v>0</v>
      </c>
      <c r="F531" s="304">
        <v>0</v>
      </c>
      <c r="G531" s="4">
        <v>0</v>
      </c>
      <c r="H531" s="4">
        <v>26771.98</v>
      </c>
    </row>
    <row r="532" spans="2:8" ht="12" customHeight="1" outlineLevel="2">
      <c r="B532" s="3" t="s">
        <v>612</v>
      </c>
      <c r="C532" s="3" t="s">
        <v>307</v>
      </c>
      <c r="D532" s="4">
        <v>1058.25</v>
      </c>
      <c r="E532" s="304">
        <v>0</v>
      </c>
      <c r="F532" s="304">
        <v>0</v>
      </c>
      <c r="G532" s="4">
        <v>0</v>
      </c>
      <c r="H532" s="4">
        <v>1269.9</v>
      </c>
    </row>
    <row r="533" spans="2:8" ht="12" customHeight="1" outlineLevel="2">
      <c r="B533" s="3" t="s">
        <v>613</v>
      </c>
      <c r="C533" s="3" t="s">
        <v>344</v>
      </c>
      <c r="D533" s="4">
        <v>0</v>
      </c>
      <c r="E533" s="304">
        <v>0</v>
      </c>
      <c r="F533" s="304">
        <v>0</v>
      </c>
      <c r="G533" s="4">
        <v>0</v>
      </c>
      <c r="H533" s="4">
        <v>0</v>
      </c>
    </row>
    <row r="534" spans="2:8" ht="12" customHeight="1" outlineLevel="2">
      <c r="B534" s="3" t="s">
        <v>614</v>
      </c>
      <c r="C534" s="3" t="s">
        <v>346</v>
      </c>
      <c r="D534" s="4">
        <v>0</v>
      </c>
      <c r="E534" s="304">
        <v>0</v>
      </c>
      <c r="F534" s="304">
        <v>0</v>
      </c>
      <c r="G534" s="4">
        <v>0</v>
      </c>
      <c r="H534" s="4">
        <v>0</v>
      </c>
    </row>
    <row r="535" spans="2:8" ht="12" customHeight="1" outlineLevel="2">
      <c r="B535" s="3" t="s">
        <v>615</v>
      </c>
      <c r="C535" s="3" t="s">
        <v>309</v>
      </c>
      <c r="D535" s="4">
        <v>1348.85</v>
      </c>
      <c r="E535" s="304">
        <v>0</v>
      </c>
      <c r="F535" s="304">
        <v>0</v>
      </c>
      <c r="G535" s="4">
        <v>0</v>
      </c>
      <c r="H535" s="4">
        <v>1618.62</v>
      </c>
    </row>
    <row r="536" spans="2:8" ht="12" customHeight="1" outlineLevel="2">
      <c r="B536" s="3" t="s">
        <v>616</v>
      </c>
      <c r="C536" s="3" t="s">
        <v>311</v>
      </c>
      <c r="D536" s="4">
        <v>315.41</v>
      </c>
      <c r="E536" s="304">
        <v>0</v>
      </c>
      <c r="F536" s="304">
        <v>0</v>
      </c>
      <c r="G536" s="4">
        <v>0</v>
      </c>
      <c r="H536" s="4">
        <v>378.49</v>
      </c>
    </row>
    <row r="537" spans="2:8" ht="12" customHeight="1" outlineLevel="2">
      <c r="B537" s="3" t="s">
        <v>617</v>
      </c>
      <c r="C537" s="3" t="s">
        <v>313</v>
      </c>
      <c r="D537" s="4">
        <v>1424.64</v>
      </c>
      <c r="E537" s="304">
        <v>0</v>
      </c>
      <c r="F537" s="304">
        <v>0</v>
      </c>
      <c r="G537" s="4">
        <v>0</v>
      </c>
      <c r="H537" s="4">
        <v>1709.57</v>
      </c>
    </row>
    <row r="538" spans="2:8" ht="12" customHeight="1" outlineLevel="2">
      <c r="B538" s="3" t="s">
        <v>618</v>
      </c>
      <c r="C538" s="3" t="s">
        <v>315</v>
      </c>
      <c r="D538" s="4">
        <v>4597.65</v>
      </c>
      <c r="E538" s="304">
        <v>0</v>
      </c>
      <c r="F538" s="304">
        <v>0</v>
      </c>
      <c r="G538" s="4">
        <v>0</v>
      </c>
      <c r="H538" s="4">
        <v>5517.18</v>
      </c>
    </row>
    <row r="539" spans="2:8" ht="12" customHeight="1" outlineLevel="2">
      <c r="B539" s="3" t="s">
        <v>619</v>
      </c>
      <c r="C539" s="3" t="s">
        <v>317</v>
      </c>
      <c r="D539" s="4">
        <v>0</v>
      </c>
      <c r="E539" s="304">
        <v>0</v>
      </c>
      <c r="F539" s="304">
        <v>0</v>
      </c>
      <c r="G539" s="4">
        <v>0</v>
      </c>
      <c r="H539" s="4">
        <v>0</v>
      </c>
    </row>
    <row r="540" spans="2:8" ht="12" customHeight="1" outlineLevel="2">
      <c r="B540" s="3" t="s">
        <v>620</v>
      </c>
      <c r="C540" s="3" t="s">
        <v>353</v>
      </c>
      <c r="D540" s="4">
        <v>22.33</v>
      </c>
      <c r="E540" s="304">
        <v>0</v>
      </c>
      <c r="F540" s="304">
        <v>0</v>
      </c>
      <c r="G540" s="4">
        <v>0</v>
      </c>
      <c r="H540" s="4">
        <v>26.8</v>
      </c>
    </row>
    <row r="541" spans="2:8" ht="12" customHeight="1" outlineLevel="2">
      <c r="B541" s="3" t="s">
        <v>621</v>
      </c>
      <c r="C541" s="3" t="s">
        <v>319</v>
      </c>
      <c r="D541" s="4">
        <v>0</v>
      </c>
      <c r="E541" s="304">
        <v>0</v>
      </c>
      <c r="F541" s="304">
        <v>0</v>
      </c>
      <c r="G541" s="4">
        <v>0</v>
      </c>
      <c r="H541" s="4">
        <v>0</v>
      </c>
    </row>
    <row r="542" spans="2:8" ht="12" customHeight="1" outlineLevel="2">
      <c r="B542" s="3" t="s">
        <v>622</v>
      </c>
      <c r="C542" s="3" t="s">
        <v>214</v>
      </c>
      <c r="D542" s="4">
        <v>0</v>
      </c>
      <c r="E542" s="304">
        <v>0</v>
      </c>
      <c r="F542" s="304">
        <v>0</v>
      </c>
      <c r="G542" s="4">
        <v>0</v>
      </c>
      <c r="H542" s="4">
        <v>0</v>
      </c>
    </row>
    <row r="543" spans="1:11" s="377" customFormat="1" ht="12" customHeight="1" outlineLevel="2">
      <c r="A543" s="207"/>
      <c r="B543" s="206" t="s">
        <v>623</v>
      </c>
      <c r="C543" s="206" t="s">
        <v>216</v>
      </c>
      <c r="D543" s="60">
        <v>0</v>
      </c>
      <c r="E543" s="60">
        <v>0</v>
      </c>
      <c r="F543" s="60">
        <v>500</v>
      </c>
      <c r="G543" s="60">
        <v>500</v>
      </c>
      <c r="H543" s="60">
        <v>0</v>
      </c>
      <c r="I543" s="375"/>
      <c r="J543" s="207"/>
      <c r="K543" s="60"/>
    </row>
    <row r="544" spans="2:8" ht="12" customHeight="1" outlineLevel="2">
      <c r="B544" s="3" t="s">
        <v>624</v>
      </c>
      <c r="C544" s="3" t="s">
        <v>218</v>
      </c>
      <c r="D544" s="4">
        <v>0</v>
      </c>
      <c r="E544" s="304">
        <v>0</v>
      </c>
      <c r="F544" s="304">
        <v>0</v>
      </c>
      <c r="G544" s="4">
        <v>0</v>
      </c>
      <c r="H544" s="4">
        <v>0</v>
      </c>
    </row>
    <row r="545" spans="2:8" ht="12" customHeight="1" outlineLevel="2">
      <c r="B545" s="3" t="s">
        <v>625</v>
      </c>
      <c r="C545" s="3" t="s">
        <v>224</v>
      </c>
      <c r="D545" s="4">
        <v>0</v>
      </c>
      <c r="E545" s="304">
        <v>0</v>
      </c>
      <c r="F545" s="304">
        <v>0</v>
      </c>
      <c r="G545" s="4">
        <v>0</v>
      </c>
      <c r="H545" s="4">
        <v>0</v>
      </c>
    </row>
    <row r="546" spans="2:8" ht="12" customHeight="1" outlineLevel="2">
      <c r="B546" s="3" t="s">
        <v>626</v>
      </c>
      <c r="C546" s="3" t="s">
        <v>183</v>
      </c>
      <c r="D546" s="4">
        <v>0</v>
      </c>
      <c r="E546" s="304">
        <v>0</v>
      </c>
      <c r="F546" s="304">
        <v>0</v>
      </c>
      <c r="G546" s="4">
        <v>0</v>
      </c>
      <c r="H546" s="4">
        <v>0</v>
      </c>
    </row>
    <row r="547" spans="2:8" ht="12" customHeight="1" outlineLevel="2">
      <c r="B547" s="3" t="s">
        <v>627</v>
      </c>
      <c r="C547" s="3" t="s">
        <v>572</v>
      </c>
      <c r="D547" s="4">
        <v>0</v>
      </c>
      <c r="E547" s="304">
        <v>0</v>
      </c>
      <c r="F547" s="304">
        <v>0</v>
      </c>
      <c r="G547" s="4">
        <v>0</v>
      </c>
      <c r="H547" s="4">
        <v>0</v>
      </c>
    </row>
    <row r="548" spans="2:8" ht="12" customHeight="1" outlineLevel="2">
      <c r="B548" s="3" t="s">
        <v>628</v>
      </c>
      <c r="C548" s="3" t="s">
        <v>574</v>
      </c>
      <c r="D548" s="4">
        <v>0</v>
      </c>
      <c r="E548" s="304">
        <v>0</v>
      </c>
      <c r="F548" s="304">
        <v>0</v>
      </c>
      <c r="G548" s="4">
        <v>0</v>
      </c>
      <c r="H548" s="4">
        <v>0</v>
      </c>
    </row>
    <row r="549" spans="2:8" ht="21.75" customHeight="1" outlineLevel="2">
      <c r="B549" s="3" t="s">
        <v>629</v>
      </c>
      <c r="C549" s="3" t="s">
        <v>576</v>
      </c>
      <c r="D549" s="4">
        <v>0</v>
      </c>
      <c r="E549" s="304">
        <v>0</v>
      </c>
      <c r="F549" s="304">
        <v>0</v>
      </c>
      <c r="G549" s="4">
        <v>0</v>
      </c>
      <c r="H549" s="4">
        <v>0</v>
      </c>
    </row>
    <row r="550" spans="1:11" s="377" customFormat="1" ht="12" customHeight="1" outlineLevel="2">
      <c r="A550" s="207"/>
      <c r="B550" s="206" t="s">
        <v>630</v>
      </c>
      <c r="C550" s="206" t="s">
        <v>191</v>
      </c>
      <c r="D550" s="60">
        <v>0</v>
      </c>
      <c r="E550" s="60">
        <v>0</v>
      </c>
      <c r="F550" s="60">
        <v>2000</v>
      </c>
      <c r="G550" s="60">
        <v>2000</v>
      </c>
      <c r="H550" s="60">
        <v>0</v>
      </c>
      <c r="I550" s="375"/>
      <c r="J550" s="207"/>
      <c r="K550" s="207"/>
    </row>
    <row r="551" spans="1:11" s="377" customFormat="1" ht="12" customHeight="1" outlineLevel="2">
      <c r="A551" s="207"/>
      <c r="B551" s="206" t="s">
        <v>631</v>
      </c>
      <c r="C551" s="206" t="s">
        <v>235</v>
      </c>
      <c r="D551" s="60">
        <v>0</v>
      </c>
      <c r="E551" s="60">
        <v>0</v>
      </c>
      <c r="F551" s="60">
        <v>1000</v>
      </c>
      <c r="G551" s="60">
        <v>1000</v>
      </c>
      <c r="H551" s="60">
        <v>0</v>
      </c>
      <c r="I551" s="375"/>
      <c r="J551" s="207"/>
      <c r="K551" s="207"/>
    </row>
    <row r="552" spans="1:11" s="207" customFormat="1" ht="12" customHeight="1" outlineLevel="2">
      <c r="A552" s="498"/>
      <c r="C552" s="206"/>
      <c r="D552" s="60"/>
      <c r="E552" s="60">
        <f>SUM(E543:E551)</f>
        <v>0</v>
      </c>
      <c r="F552" s="60">
        <v>3500</v>
      </c>
      <c r="G552" s="60">
        <v>3500</v>
      </c>
      <c r="H552" s="60"/>
      <c r="I552" s="375"/>
      <c r="K552" s="621"/>
    </row>
    <row r="553" spans="2:3" ht="12" customHeight="1" outlineLevel="2">
      <c r="B553" s="3"/>
      <c r="C553" s="3"/>
    </row>
    <row r="554" spans="2:8" ht="12" customHeight="1" outlineLevel="2">
      <c r="B554" s="3" t="s">
        <v>632</v>
      </c>
      <c r="C554" s="3" t="s">
        <v>237</v>
      </c>
      <c r="D554" s="4">
        <v>0</v>
      </c>
      <c r="E554" s="304">
        <v>0</v>
      </c>
      <c r="F554" s="304">
        <v>0</v>
      </c>
      <c r="G554" s="4">
        <v>0</v>
      </c>
      <c r="H554" s="4">
        <v>0</v>
      </c>
    </row>
    <row r="555" spans="2:8" ht="12" customHeight="1" outlineLevel="2">
      <c r="B555" s="3" t="s">
        <v>633</v>
      </c>
      <c r="C555" s="3" t="s">
        <v>581</v>
      </c>
      <c r="D555" s="4">
        <v>0</v>
      </c>
      <c r="E555" s="304">
        <v>0</v>
      </c>
      <c r="F555" s="304">
        <v>0</v>
      </c>
      <c r="G555" s="4">
        <v>0</v>
      </c>
      <c r="H555" s="4">
        <v>0</v>
      </c>
    </row>
    <row r="556" spans="2:8" ht="12" customHeight="1" outlineLevel="2">
      <c r="B556" s="3" t="s">
        <v>634</v>
      </c>
      <c r="C556" s="3" t="s">
        <v>207</v>
      </c>
      <c r="D556" s="4">
        <v>0</v>
      </c>
      <c r="E556" s="304">
        <v>0</v>
      </c>
      <c r="F556" s="304">
        <v>0</v>
      </c>
      <c r="G556" s="4">
        <v>0</v>
      </c>
      <c r="H556" s="4">
        <v>0</v>
      </c>
    </row>
    <row r="557" spans="2:8" ht="12" customHeight="1" outlineLevel="2">
      <c r="B557" s="3" t="s">
        <v>635</v>
      </c>
      <c r="C557" s="3" t="s">
        <v>189</v>
      </c>
      <c r="D557" s="4">
        <v>0</v>
      </c>
      <c r="E557" s="304">
        <v>0</v>
      </c>
      <c r="F557" s="304">
        <v>0</v>
      </c>
      <c r="G557" s="4">
        <v>0</v>
      </c>
      <c r="H557" s="4">
        <v>0</v>
      </c>
    </row>
    <row r="558" spans="2:8" ht="12" customHeight="1" outlineLevel="2">
      <c r="B558" s="3" t="s">
        <v>636</v>
      </c>
      <c r="C558" s="3" t="s">
        <v>468</v>
      </c>
      <c r="D558" s="4">
        <v>0</v>
      </c>
      <c r="E558" s="304">
        <v>0</v>
      </c>
      <c r="F558" s="304">
        <v>0</v>
      </c>
      <c r="G558" s="4">
        <v>0</v>
      </c>
      <c r="H558" s="4">
        <v>0</v>
      </c>
    </row>
    <row r="559" spans="2:8" ht="12" customHeight="1" outlineLevel="2">
      <c r="B559" s="3" t="s">
        <v>637</v>
      </c>
      <c r="C559" s="3" t="s">
        <v>209</v>
      </c>
      <c r="D559" s="4">
        <v>0</v>
      </c>
      <c r="E559" s="304">
        <v>0</v>
      </c>
      <c r="F559" s="304">
        <v>0</v>
      </c>
      <c r="G559" s="4">
        <v>0</v>
      </c>
      <c r="H559" s="4">
        <v>0</v>
      </c>
    </row>
    <row r="560" spans="2:8" ht="12" customHeight="1" outlineLevel="2">
      <c r="B560" s="3" t="s">
        <v>638</v>
      </c>
      <c r="C560" s="3" t="s">
        <v>260</v>
      </c>
      <c r="D560" s="4">
        <v>0</v>
      </c>
      <c r="E560" s="304">
        <v>0</v>
      </c>
      <c r="F560" s="304">
        <v>0</v>
      </c>
      <c r="G560" s="4">
        <v>0</v>
      </c>
      <c r="H560" s="4">
        <v>0</v>
      </c>
    </row>
    <row r="561" spans="2:8" ht="12" customHeight="1" outlineLevel="2">
      <c r="B561" s="3" t="s">
        <v>639</v>
      </c>
      <c r="C561" s="3" t="s">
        <v>263</v>
      </c>
      <c r="D561" s="4">
        <v>0</v>
      </c>
      <c r="E561" s="304">
        <v>0</v>
      </c>
      <c r="F561" s="304">
        <v>0</v>
      </c>
      <c r="G561" s="4">
        <v>0</v>
      </c>
      <c r="H561" s="4">
        <v>0</v>
      </c>
    </row>
    <row r="562" spans="2:8" ht="12" customHeight="1" outlineLevel="2">
      <c r="B562" s="3" t="s">
        <v>640</v>
      </c>
      <c r="C562" s="3" t="s">
        <v>641</v>
      </c>
      <c r="D562" s="4">
        <v>0</v>
      </c>
      <c r="E562" s="304">
        <v>0</v>
      </c>
      <c r="F562" s="304">
        <v>0</v>
      </c>
      <c r="G562" s="4">
        <v>0</v>
      </c>
      <c r="H562" s="4">
        <v>0</v>
      </c>
    </row>
    <row r="563" spans="2:8" ht="12" customHeight="1" outlineLevel="2">
      <c r="B563" s="3" t="s">
        <v>642</v>
      </c>
      <c r="C563" s="3" t="s">
        <v>394</v>
      </c>
      <c r="D563" s="4">
        <v>0</v>
      </c>
      <c r="E563" s="304">
        <v>0</v>
      </c>
      <c r="F563" s="304">
        <v>0</v>
      </c>
      <c r="G563" s="4">
        <v>0</v>
      </c>
      <c r="H563" s="4">
        <v>0</v>
      </c>
    </row>
    <row r="564" spans="2:8" ht="12" customHeight="1" outlineLevel="2">
      <c r="B564" s="3" t="s">
        <v>643</v>
      </c>
      <c r="C564" s="3" t="s">
        <v>396</v>
      </c>
      <c r="D564" s="4">
        <v>0</v>
      </c>
      <c r="E564" s="304">
        <v>0</v>
      </c>
      <c r="F564" s="304">
        <v>0</v>
      </c>
      <c r="G564" s="4">
        <v>0</v>
      </c>
      <c r="H564" s="4">
        <v>0</v>
      </c>
    </row>
    <row r="565" spans="2:8" ht="12" customHeight="1" outlineLevel="2">
      <c r="B565" s="3" t="s">
        <v>644</v>
      </c>
      <c r="C565" s="3" t="s">
        <v>265</v>
      </c>
      <c r="D565" s="4">
        <v>0</v>
      </c>
      <c r="E565" s="304">
        <v>0</v>
      </c>
      <c r="F565" s="304">
        <v>0</v>
      </c>
      <c r="G565" s="4">
        <v>0</v>
      </c>
      <c r="H565" s="4">
        <v>0</v>
      </c>
    </row>
    <row r="566" spans="2:8" ht="12" customHeight="1" outlineLevel="2">
      <c r="B566" s="3" t="s">
        <v>645</v>
      </c>
      <c r="C566" s="3" t="s">
        <v>338</v>
      </c>
      <c r="D566" s="4">
        <v>0</v>
      </c>
      <c r="E566" s="304">
        <v>0</v>
      </c>
      <c r="F566" s="304">
        <v>0</v>
      </c>
      <c r="G566" s="4">
        <v>0</v>
      </c>
      <c r="H566" s="4">
        <v>0</v>
      </c>
    </row>
    <row r="567" spans="2:8" ht="12" customHeight="1" outlineLevel="2">
      <c r="B567" s="3" t="s">
        <v>646</v>
      </c>
      <c r="C567" s="3" t="s">
        <v>305</v>
      </c>
      <c r="D567" s="4">
        <v>62444.34</v>
      </c>
      <c r="H567" s="4">
        <v>74933.21</v>
      </c>
    </row>
    <row r="568" spans="2:8" ht="12" customHeight="1" outlineLevel="2">
      <c r="B568" s="3" t="s">
        <v>647</v>
      </c>
      <c r="C568" s="3" t="s">
        <v>309</v>
      </c>
      <c r="D568" s="4">
        <v>3669.26</v>
      </c>
      <c r="H568" s="4">
        <v>4403.11</v>
      </c>
    </row>
    <row r="569" spans="2:8" ht="12" customHeight="1" outlineLevel="2">
      <c r="B569" s="3" t="s">
        <v>648</v>
      </c>
      <c r="C569" s="3" t="s">
        <v>311</v>
      </c>
      <c r="D569" s="4">
        <v>858.21</v>
      </c>
      <c r="H569" s="4">
        <v>1029.85</v>
      </c>
    </row>
    <row r="570" spans="2:8" ht="12" customHeight="1" outlineLevel="2">
      <c r="B570" s="3" t="s">
        <v>649</v>
      </c>
      <c r="C570" s="3" t="s">
        <v>313</v>
      </c>
      <c r="D570" s="4">
        <v>4190.02</v>
      </c>
      <c r="H570" s="4">
        <v>5028.02</v>
      </c>
    </row>
    <row r="571" spans="2:8" ht="12" customHeight="1" outlineLevel="2">
      <c r="B571" s="3" t="s">
        <v>650</v>
      </c>
      <c r="C571" s="3" t="s">
        <v>315</v>
      </c>
      <c r="D571" s="4">
        <v>12917.31</v>
      </c>
      <c r="H571" s="4">
        <v>15500.77</v>
      </c>
    </row>
    <row r="572" spans="2:8" ht="12" customHeight="1" outlineLevel="2">
      <c r="B572" s="3" t="s">
        <v>651</v>
      </c>
      <c r="C572" s="3" t="s">
        <v>353</v>
      </c>
      <c r="D572" s="4">
        <v>60.81</v>
      </c>
      <c r="H572" s="4">
        <v>72.97</v>
      </c>
    </row>
    <row r="573" spans="2:8" ht="12" customHeight="1" outlineLevel="2">
      <c r="B573" s="3" t="s">
        <v>652</v>
      </c>
      <c r="C573" s="3" t="s">
        <v>319</v>
      </c>
      <c r="D573" s="4">
        <v>34.4</v>
      </c>
      <c r="H573" s="4">
        <v>41.28</v>
      </c>
    </row>
    <row r="574" spans="1:7" ht="12" customHeight="1" outlineLevel="2">
      <c r="A574" s="1" t="s">
        <v>786</v>
      </c>
      <c r="B574" s="3" t="s">
        <v>798</v>
      </c>
      <c r="C574" s="3"/>
      <c r="E574" s="304">
        <f>J750</f>
        <v>203909.9218395801</v>
      </c>
      <c r="F574" s="304">
        <v>203909.9218395801</v>
      </c>
      <c r="G574" s="4">
        <v>200039.16923958014</v>
      </c>
    </row>
    <row r="575" spans="1:3" ht="12" customHeight="1" outlineLevel="2">
      <c r="A575" s="1"/>
      <c r="B575" s="3"/>
      <c r="C575" s="3"/>
    </row>
    <row r="576" spans="2:3" ht="12" customHeight="1" outlineLevel="2">
      <c r="B576" s="3"/>
      <c r="C576" s="3"/>
    </row>
    <row r="577" spans="2:11" ht="12" customHeight="1" outlineLevel="2">
      <c r="B577" s="3" t="s">
        <v>653</v>
      </c>
      <c r="C577" s="3" t="s">
        <v>321</v>
      </c>
      <c r="D577" s="4">
        <v>0</v>
      </c>
      <c r="H577" s="4">
        <v>0</v>
      </c>
      <c r="K577" s="4"/>
    </row>
    <row r="578" spans="2:11" ht="12" customHeight="1" outlineLevel="2">
      <c r="B578" s="3" t="s">
        <v>654</v>
      </c>
      <c r="C578" s="3" t="s">
        <v>501</v>
      </c>
      <c r="D578" s="4">
        <v>19047.57</v>
      </c>
      <c r="E578" s="304">
        <v>51384</v>
      </c>
      <c r="F578" s="304">
        <v>51384</v>
      </c>
      <c r="G578" s="4">
        <v>51384</v>
      </c>
      <c r="H578" s="4">
        <v>22857.08</v>
      </c>
      <c r="I578" s="309" t="s">
        <v>1160</v>
      </c>
      <c r="K578" s="620"/>
    </row>
    <row r="579" spans="2:11" ht="12" customHeight="1" outlineLevel="2">
      <c r="B579" s="3" t="s">
        <v>655</v>
      </c>
      <c r="C579" s="3" t="s">
        <v>1365</v>
      </c>
      <c r="D579" s="4">
        <v>64284.74</v>
      </c>
      <c r="E579" s="60">
        <f>'Rd-maint'!B64</f>
        <v>158660</v>
      </c>
      <c r="F579" s="304">
        <v>110000</v>
      </c>
      <c r="G579" s="4">
        <v>212250</v>
      </c>
      <c r="H579" s="4">
        <v>77141.69</v>
      </c>
      <c r="I579" s="309" t="s">
        <v>1170</v>
      </c>
      <c r="K579" s="620"/>
    </row>
    <row r="580" spans="2:11" ht="12" customHeight="1" outlineLevel="2">
      <c r="B580" s="3"/>
      <c r="C580" s="206" t="s">
        <v>1331</v>
      </c>
      <c r="E580" s="60">
        <v>0</v>
      </c>
      <c r="G580" s="309" t="s">
        <v>1308</v>
      </c>
      <c r="K580" s="620"/>
    </row>
    <row r="581" spans="2:11" ht="12" customHeight="1" outlineLevel="2">
      <c r="B581" s="3"/>
      <c r="C581" s="206" t="s">
        <v>1330</v>
      </c>
      <c r="E581" s="60">
        <v>0</v>
      </c>
      <c r="G581" s="309" t="s">
        <v>1329</v>
      </c>
      <c r="K581" s="620"/>
    </row>
    <row r="582" spans="1:11" s="244" customFormat="1" ht="13.5" customHeight="1" outlineLevel="2">
      <c r="A582" s="473"/>
      <c r="B582" s="242" t="s">
        <v>656</v>
      </c>
      <c r="C582" s="242" t="s">
        <v>216</v>
      </c>
      <c r="D582" s="243">
        <v>5215.79</v>
      </c>
      <c r="E582" s="304">
        <v>7000</v>
      </c>
      <c r="F582" s="304">
        <v>7000</v>
      </c>
      <c r="G582" s="243">
        <v>7000</v>
      </c>
      <c r="H582" s="243">
        <v>6258.95</v>
      </c>
      <c r="I582" s="474"/>
      <c r="J582" s="473"/>
      <c r="K582" s="620"/>
    </row>
    <row r="583" spans="2:11" ht="12" customHeight="1" outlineLevel="2">
      <c r="B583" s="3" t="s">
        <v>657</v>
      </c>
      <c r="C583" s="3" t="s">
        <v>658</v>
      </c>
      <c r="D583" s="4">
        <v>1823.26</v>
      </c>
      <c r="E583" s="304">
        <v>2200</v>
      </c>
      <c r="F583" s="60">
        <v>2200</v>
      </c>
      <c r="G583" s="4">
        <v>1823.26</v>
      </c>
      <c r="H583" s="4">
        <v>2187.91</v>
      </c>
      <c r="K583" s="620"/>
    </row>
    <row r="584" spans="2:11" ht="12" customHeight="1" outlineLevel="2">
      <c r="B584" s="3" t="s">
        <v>659</v>
      </c>
      <c r="C584" s="3" t="s">
        <v>229</v>
      </c>
      <c r="D584" s="4">
        <v>85.93</v>
      </c>
      <c r="E584" s="304">
        <v>0</v>
      </c>
      <c r="F584" s="304">
        <v>0</v>
      </c>
      <c r="G584" s="4">
        <v>125</v>
      </c>
      <c r="H584" s="4">
        <v>103.12</v>
      </c>
      <c r="K584" s="620"/>
    </row>
    <row r="585" spans="2:11" ht="12" customHeight="1" outlineLevel="2">
      <c r="B585" s="3" t="s">
        <v>660</v>
      </c>
      <c r="C585" s="3" t="s">
        <v>191</v>
      </c>
      <c r="D585" s="4">
        <v>2226.45</v>
      </c>
      <c r="E585" s="304">
        <v>2700</v>
      </c>
      <c r="F585" s="60">
        <v>2700</v>
      </c>
      <c r="G585" s="4">
        <v>2292.96</v>
      </c>
      <c r="H585" s="4">
        <v>2671.74</v>
      </c>
      <c r="K585" s="620"/>
    </row>
    <row r="586" spans="2:11" ht="12" customHeight="1" outlineLevel="2">
      <c r="B586" s="3" t="s">
        <v>661</v>
      </c>
      <c r="C586" s="3" t="s">
        <v>235</v>
      </c>
      <c r="D586" s="4">
        <v>480.52</v>
      </c>
      <c r="E586" s="304">
        <v>1000</v>
      </c>
      <c r="F586" s="304">
        <v>1000</v>
      </c>
      <c r="G586" s="4">
        <v>1000</v>
      </c>
      <c r="H586" s="4">
        <v>576.62</v>
      </c>
      <c r="K586" s="620"/>
    </row>
    <row r="587" spans="2:11" ht="12" customHeight="1" outlineLevel="2">
      <c r="B587" s="3" t="s">
        <v>662</v>
      </c>
      <c r="C587" s="3" t="s">
        <v>237</v>
      </c>
      <c r="D587" s="4">
        <v>2767.16</v>
      </c>
      <c r="E587" s="304">
        <v>4000</v>
      </c>
      <c r="F587" s="304">
        <v>4000</v>
      </c>
      <c r="G587" s="4">
        <v>4000</v>
      </c>
      <c r="H587" s="4">
        <v>3320.59</v>
      </c>
      <c r="K587" s="620"/>
    </row>
    <row r="588" spans="2:11" ht="12" customHeight="1" outlineLevel="2">
      <c r="B588" s="3" t="s">
        <v>663</v>
      </c>
      <c r="C588" s="3" t="s">
        <v>263</v>
      </c>
      <c r="D588" s="4">
        <v>1235.72</v>
      </c>
      <c r="E588" s="304">
        <v>5113</v>
      </c>
      <c r="F588" s="304">
        <v>5113</v>
      </c>
      <c r="G588" s="4">
        <v>5113</v>
      </c>
      <c r="H588" s="4">
        <v>1482.86</v>
      </c>
      <c r="K588" s="620"/>
    </row>
    <row r="589" spans="2:11" ht="12" customHeight="1" outlineLevel="2">
      <c r="B589" s="3" t="s">
        <v>664</v>
      </c>
      <c r="C589" s="3" t="s">
        <v>333</v>
      </c>
      <c r="D589" s="4">
        <v>9302.64</v>
      </c>
      <c r="E589" s="60"/>
      <c r="F589" s="304">
        <v>16356</v>
      </c>
      <c r="G589" s="4">
        <v>16356</v>
      </c>
      <c r="H589" s="4">
        <v>11163.17</v>
      </c>
      <c r="I589" s="309" t="s">
        <v>1161</v>
      </c>
      <c r="J589" s="207" t="s">
        <v>1397</v>
      </c>
      <c r="K589" s="620"/>
    </row>
    <row r="590" spans="2:11" ht="12" customHeight="1" outlineLevel="2">
      <c r="B590" s="3" t="s">
        <v>665</v>
      </c>
      <c r="C590" s="3" t="s">
        <v>335</v>
      </c>
      <c r="D590" s="4">
        <v>0</v>
      </c>
      <c r="E590" s="304">
        <v>0</v>
      </c>
      <c r="F590" s="304">
        <v>0</v>
      </c>
      <c r="G590" s="4">
        <v>0</v>
      </c>
      <c r="H590" s="4">
        <v>0</v>
      </c>
      <c r="K590" s="620"/>
    </row>
    <row r="591" spans="1:11" s="311" customFormat="1" ht="12" customHeight="1" outlineLevel="2">
      <c r="A591" s="490"/>
      <c r="B591" s="242" t="s">
        <v>666</v>
      </c>
      <c r="C591" s="242" t="s">
        <v>194</v>
      </c>
      <c r="D591" s="243">
        <v>37466.35</v>
      </c>
      <c r="E591" s="60">
        <f>45000-'Work Sheet'!E19-'Work Sheet'!E20</f>
        <v>51579</v>
      </c>
      <c r="F591" s="304">
        <v>45000</v>
      </c>
      <c r="G591" s="243">
        <v>45000</v>
      </c>
      <c r="H591" s="243">
        <v>44959.62</v>
      </c>
      <c r="I591" s="474" t="s">
        <v>1162</v>
      </c>
      <c r="J591" s="490"/>
      <c r="K591" s="620"/>
    </row>
    <row r="592" spans="2:8" ht="12" customHeight="1" outlineLevel="2">
      <c r="B592" s="3" t="s">
        <v>667</v>
      </c>
      <c r="C592" s="3" t="s">
        <v>668</v>
      </c>
      <c r="D592" s="4">
        <v>35197.23</v>
      </c>
      <c r="E592" s="304">
        <v>0</v>
      </c>
      <c r="F592" s="304">
        <v>0</v>
      </c>
      <c r="G592" s="4">
        <v>0</v>
      </c>
      <c r="H592" s="4">
        <v>42236.68</v>
      </c>
    </row>
    <row r="593" spans="2:5" ht="12" customHeight="1" outlineLevel="2">
      <c r="B593" s="3"/>
      <c r="C593" s="3"/>
      <c r="E593" s="304">
        <f>SUM(E576:E592)</f>
        <v>283636</v>
      </c>
    </row>
    <row r="594" spans="1:11" s="2" customFormat="1" ht="12" customHeight="1" outlineLevel="2">
      <c r="A594" s="1"/>
      <c r="B594" s="3" t="s">
        <v>795</v>
      </c>
      <c r="C594" s="3"/>
      <c r="D594" s="4"/>
      <c r="E594" s="304">
        <f>SUM(E577:E592)+E574+E552</f>
        <v>487545.9218395801</v>
      </c>
      <c r="F594" s="304">
        <v>452162.9218395801</v>
      </c>
      <c r="G594" s="4">
        <v>549883.3892395801</v>
      </c>
      <c r="H594" s="4"/>
      <c r="I594" s="309"/>
      <c r="K594" s="58"/>
    </row>
    <row r="595" spans="2:11" ht="12" customHeight="1" outlineLevel="2">
      <c r="B595" s="3"/>
      <c r="C595" s="3"/>
      <c r="K595" s="58"/>
    </row>
    <row r="596" spans="1:11" ht="12" customHeight="1" outlineLevel="2">
      <c r="A596" s="1" t="s">
        <v>787</v>
      </c>
      <c r="C596" s="3"/>
      <c r="K596" s="58">
        <f>K594+K595</f>
        <v>0</v>
      </c>
    </row>
    <row r="597" spans="2:8" ht="12" customHeight="1" outlineLevel="2">
      <c r="B597" s="3" t="s">
        <v>669</v>
      </c>
      <c r="C597" s="3" t="s">
        <v>305</v>
      </c>
      <c r="D597" s="4">
        <v>56080.65</v>
      </c>
      <c r="H597" s="4">
        <v>67296.78</v>
      </c>
    </row>
    <row r="598" spans="2:8" ht="12" customHeight="1" outlineLevel="2">
      <c r="B598" s="3" t="s">
        <v>670</v>
      </c>
      <c r="C598" s="3" t="s">
        <v>307</v>
      </c>
      <c r="D598" s="4">
        <v>0</v>
      </c>
      <c r="H598" s="4">
        <v>0</v>
      </c>
    </row>
    <row r="599" spans="1:11" s="244" customFormat="1" ht="12" customHeight="1" outlineLevel="2">
      <c r="A599" s="473"/>
      <c r="B599" s="242" t="s">
        <v>671</v>
      </c>
      <c r="C599" s="242" t="s">
        <v>344</v>
      </c>
      <c r="D599" s="243">
        <v>2176.28</v>
      </c>
      <c r="E599" s="19"/>
      <c r="F599" s="19"/>
      <c r="G599" s="473"/>
      <c r="H599" s="243">
        <v>2611.54</v>
      </c>
      <c r="I599" s="474"/>
      <c r="J599" s="473"/>
      <c r="K599" s="473"/>
    </row>
    <row r="600" spans="2:8" ht="12" customHeight="1" outlineLevel="2">
      <c r="B600" s="3" t="s">
        <v>672</v>
      </c>
      <c r="C600" s="3" t="s">
        <v>346</v>
      </c>
      <c r="D600" s="4">
        <v>0</v>
      </c>
      <c r="H600" s="4">
        <v>0</v>
      </c>
    </row>
    <row r="601" spans="2:8" ht="12" customHeight="1" outlineLevel="2">
      <c r="B601" s="3" t="s">
        <v>673</v>
      </c>
      <c r="C601" s="3" t="s">
        <v>309</v>
      </c>
      <c r="D601" s="4">
        <v>3611.92</v>
      </c>
      <c r="H601" s="4">
        <v>4334.3</v>
      </c>
    </row>
    <row r="602" spans="2:8" ht="12" customHeight="1" outlineLevel="2">
      <c r="B602" s="3" t="s">
        <v>674</v>
      </c>
      <c r="C602" s="3" t="s">
        <v>311</v>
      </c>
      <c r="D602" s="4">
        <v>844.71</v>
      </c>
      <c r="H602" s="4">
        <v>1013.65</v>
      </c>
    </row>
    <row r="603" spans="2:8" ht="12" customHeight="1" outlineLevel="2">
      <c r="B603" s="3" t="s">
        <v>675</v>
      </c>
      <c r="C603" s="3" t="s">
        <v>313</v>
      </c>
      <c r="D603" s="4">
        <v>5131.39</v>
      </c>
      <c r="H603" s="4">
        <v>6157.67</v>
      </c>
    </row>
    <row r="604" spans="2:8" ht="12" customHeight="1" outlineLevel="2">
      <c r="B604" s="3" t="s">
        <v>676</v>
      </c>
      <c r="C604" s="3" t="s">
        <v>315</v>
      </c>
      <c r="D604" s="4">
        <v>0</v>
      </c>
      <c r="H604" s="4">
        <v>0</v>
      </c>
    </row>
    <row r="605" spans="2:8" ht="12" customHeight="1" outlineLevel="2">
      <c r="B605" s="3" t="s">
        <v>677</v>
      </c>
      <c r="C605" s="3" t="s">
        <v>317</v>
      </c>
      <c r="D605" s="4">
        <v>0</v>
      </c>
      <c r="H605" s="4">
        <v>0</v>
      </c>
    </row>
    <row r="606" spans="2:8" ht="12" customHeight="1" outlineLevel="2">
      <c r="B606" s="3" t="s">
        <v>678</v>
      </c>
      <c r="C606" s="3" t="s">
        <v>353</v>
      </c>
      <c r="D606" s="4">
        <v>47.97</v>
      </c>
      <c r="H606" s="4">
        <v>57.56</v>
      </c>
    </row>
    <row r="607" spans="2:8" ht="12" customHeight="1" outlineLevel="2">
      <c r="B607" s="3" t="s">
        <v>679</v>
      </c>
      <c r="C607" s="3" t="s">
        <v>319</v>
      </c>
      <c r="D607" s="4">
        <v>12.9</v>
      </c>
      <c r="H607" s="4">
        <v>15.48</v>
      </c>
    </row>
    <row r="608" spans="1:7" ht="12" customHeight="1" outlineLevel="2">
      <c r="A608" s="1" t="s">
        <v>787</v>
      </c>
      <c r="B608" s="3" t="s">
        <v>798</v>
      </c>
      <c r="C608" s="3"/>
      <c r="E608" s="304">
        <f>J753</f>
        <v>104518.06692405565</v>
      </c>
      <c r="F608" s="304">
        <v>104518.06692405565</v>
      </c>
      <c r="G608" s="4">
        <v>83305.96211405563</v>
      </c>
    </row>
    <row r="609" spans="2:10" ht="12" customHeight="1" outlineLevel="2">
      <c r="B609" s="3"/>
      <c r="C609" s="3"/>
      <c r="J609" s="2">
        <f>J610/I610</f>
        <v>50</v>
      </c>
    </row>
    <row r="610" spans="2:10" ht="12" customHeight="1" outlineLevel="2">
      <c r="B610" s="3" t="s">
        <v>680</v>
      </c>
      <c r="C610" s="3" t="s">
        <v>321</v>
      </c>
      <c r="D610" s="4">
        <v>217.42</v>
      </c>
      <c r="E610" s="304">
        <v>425</v>
      </c>
      <c r="F610" s="304">
        <v>425</v>
      </c>
      <c r="G610" s="4">
        <v>425</v>
      </c>
      <c r="H610" s="4">
        <v>260.9</v>
      </c>
      <c r="I610" s="309">
        <v>400</v>
      </c>
      <c r="J610" s="4">
        <v>20000</v>
      </c>
    </row>
    <row r="611" spans="2:9" ht="12" customHeight="1" outlineLevel="2">
      <c r="B611" s="3" t="s">
        <v>681</v>
      </c>
      <c r="C611" s="3" t="s">
        <v>323</v>
      </c>
      <c r="D611" s="4">
        <v>315.94</v>
      </c>
      <c r="E611" s="304">
        <v>1000</v>
      </c>
      <c r="F611" s="304">
        <v>1000</v>
      </c>
      <c r="G611" s="4">
        <v>1000</v>
      </c>
      <c r="H611" s="4">
        <v>379.13</v>
      </c>
      <c r="I611" s="309">
        <v>15</v>
      </c>
    </row>
    <row r="612" spans="2:6" ht="12" customHeight="1" outlineLevel="2">
      <c r="B612" s="3" t="s">
        <v>1163</v>
      </c>
      <c r="C612" s="3" t="s">
        <v>1164</v>
      </c>
      <c r="E612" s="304">
        <v>3500</v>
      </c>
      <c r="F612" s="60">
        <v>3500</v>
      </c>
    </row>
    <row r="613" spans="2:9" ht="12" customHeight="1" outlineLevel="2">
      <c r="B613" s="3" t="s">
        <v>682</v>
      </c>
      <c r="C613" s="3" t="s">
        <v>202</v>
      </c>
      <c r="D613" s="4">
        <v>1000</v>
      </c>
      <c r="E613" s="304">
        <v>0</v>
      </c>
      <c r="F613" s="60">
        <v>0</v>
      </c>
      <c r="G613" s="4">
        <v>1000</v>
      </c>
      <c r="H613" s="4">
        <v>1200</v>
      </c>
      <c r="I613" s="309">
        <f>I610*I611</f>
        <v>6000</v>
      </c>
    </row>
    <row r="614" spans="2:8" ht="21.75" customHeight="1" outlineLevel="2">
      <c r="B614" s="3" t="s">
        <v>683</v>
      </c>
      <c r="C614" s="3" t="s">
        <v>216</v>
      </c>
      <c r="D614" s="4">
        <v>1181.67</v>
      </c>
      <c r="E614" s="304">
        <f>'Work Sheet'!C72*H614</f>
        <v>709</v>
      </c>
      <c r="F614" s="304">
        <v>709</v>
      </c>
      <c r="G614" s="4">
        <v>1418</v>
      </c>
      <c r="H614" s="4">
        <v>1418</v>
      </c>
    </row>
    <row r="615" spans="2:8" ht="21.75" customHeight="1" outlineLevel="2">
      <c r="B615" s="3" t="s">
        <v>684</v>
      </c>
      <c r="C615" s="3" t="s">
        <v>220</v>
      </c>
      <c r="D615" s="4">
        <v>0</v>
      </c>
      <c r="E615" s="304">
        <v>1000</v>
      </c>
      <c r="F615" s="60">
        <v>1000</v>
      </c>
      <c r="G615" s="4">
        <v>0</v>
      </c>
      <c r="H615" s="4">
        <v>0</v>
      </c>
    </row>
    <row r="616" spans="1:11" s="244" customFormat="1" ht="12" customHeight="1" outlineLevel="2">
      <c r="A616" s="473"/>
      <c r="B616" s="242" t="s">
        <v>685</v>
      </c>
      <c r="C616" s="242" t="s">
        <v>298</v>
      </c>
      <c r="D616" s="243">
        <v>0</v>
      </c>
      <c r="E616" s="304">
        <f>'Work Sheet'!C69</f>
        <v>0</v>
      </c>
      <c r="F616" s="304">
        <v>0</v>
      </c>
      <c r="G616" s="243">
        <v>0</v>
      </c>
      <c r="H616" s="243">
        <v>0</v>
      </c>
      <c r="I616" s="474"/>
      <c r="J616" s="473"/>
      <c r="K616" s="473"/>
    </row>
    <row r="617" spans="2:8" ht="12" customHeight="1" outlineLevel="2">
      <c r="B617" s="3" t="s">
        <v>686</v>
      </c>
      <c r="C617" s="3" t="s">
        <v>224</v>
      </c>
      <c r="D617" s="4">
        <v>0</v>
      </c>
      <c r="E617" s="304">
        <v>0</v>
      </c>
      <c r="F617" s="304">
        <v>0</v>
      </c>
      <c r="G617" s="4">
        <v>0</v>
      </c>
      <c r="H617" s="4">
        <v>0</v>
      </c>
    </row>
    <row r="618" spans="2:9" ht="12" customHeight="1" outlineLevel="2">
      <c r="B618" s="3" t="s">
        <v>687</v>
      </c>
      <c r="C618" s="3" t="s">
        <v>1168</v>
      </c>
      <c r="D618" s="4">
        <v>8553.2</v>
      </c>
      <c r="E618" s="304">
        <v>25000</v>
      </c>
      <c r="F618" s="60">
        <v>25000</v>
      </c>
      <c r="G618" s="4">
        <v>10000</v>
      </c>
      <c r="H618" s="4">
        <v>10263.84</v>
      </c>
      <c r="I618" s="309" t="s">
        <v>1167</v>
      </c>
    </row>
    <row r="619" spans="2:8" ht="12" customHeight="1" outlineLevel="2">
      <c r="B619" s="3" t="s">
        <v>688</v>
      </c>
      <c r="C619" s="3" t="s">
        <v>229</v>
      </c>
      <c r="D619" s="4">
        <v>1338.76</v>
      </c>
      <c r="E619" s="304">
        <v>0</v>
      </c>
      <c r="F619" s="60">
        <v>0</v>
      </c>
      <c r="G619" s="4">
        <v>1600</v>
      </c>
      <c r="H619" s="4">
        <v>1606.51</v>
      </c>
    </row>
    <row r="620" spans="2:8" ht="12" customHeight="1" outlineLevel="2">
      <c r="B620" s="3" t="s">
        <v>689</v>
      </c>
      <c r="C620" s="3" t="s">
        <v>191</v>
      </c>
      <c r="D620" s="4">
        <v>0</v>
      </c>
      <c r="E620" s="304">
        <v>0</v>
      </c>
      <c r="F620" s="304">
        <v>0</v>
      </c>
      <c r="G620" s="4">
        <v>0</v>
      </c>
      <c r="H620" s="4">
        <v>0</v>
      </c>
    </row>
    <row r="621" spans="2:8" ht="12" customHeight="1" outlineLevel="2">
      <c r="B621" s="3" t="s">
        <v>690</v>
      </c>
      <c r="C621" s="3" t="s">
        <v>205</v>
      </c>
      <c r="D621" s="4">
        <v>643.36</v>
      </c>
      <c r="E621" s="304">
        <v>1000</v>
      </c>
      <c r="F621" s="304">
        <v>1000</v>
      </c>
      <c r="G621" s="4">
        <v>1000</v>
      </c>
      <c r="H621" s="4">
        <v>772.03</v>
      </c>
    </row>
    <row r="622" spans="1:11" s="244" customFormat="1" ht="12" customHeight="1" outlineLevel="2">
      <c r="A622" s="473"/>
      <c r="B622" s="242" t="s">
        <v>691</v>
      </c>
      <c r="C622" s="242" t="s">
        <v>189</v>
      </c>
      <c r="D622" s="243">
        <v>904</v>
      </c>
      <c r="E622" s="304">
        <v>500</v>
      </c>
      <c r="F622" s="304">
        <v>500</v>
      </c>
      <c r="G622" s="243">
        <v>500</v>
      </c>
      <c r="H622" s="243">
        <v>1084.8</v>
      </c>
      <c r="I622" s="474"/>
      <c r="J622" s="473"/>
      <c r="K622" s="473"/>
    </row>
    <row r="623" spans="2:8" ht="12" customHeight="1" outlineLevel="2">
      <c r="B623" s="3" t="s">
        <v>692</v>
      </c>
      <c r="C623" s="3" t="s">
        <v>209</v>
      </c>
      <c r="D623" s="4">
        <v>0</v>
      </c>
      <c r="E623" s="304">
        <v>0</v>
      </c>
      <c r="F623" s="304">
        <v>0</v>
      </c>
      <c r="G623" s="4">
        <v>0</v>
      </c>
      <c r="H623" s="4">
        <v>0</v>
      </c>
    </row>
    <row r="624" spans="2:8" ht="12" customHeight="1" outlineLevel="2">
      <c r="B624" s="3" t="s">
        <v>693</v>
      </c>
      <c r="C624" s="3" t="s">
        <v>240</v>
      </c>
      <c r="D624" s="4">
        <v>0</v>
      </c>
      <c r="E624" s="304">
        <v>0</v>
      </c>
      <c r="F624" s="304">
        <v>0</v>
      </c>
      <c r="G624" s="4">
        <v>0</v>
      </c>
      <c r="H624" s="4">
        <v>0</v>
      </c>
    </row>
    <row r="625" spans="2:8" ht="12" customHeight="1" outlineLevel="2">
      <c r="B625" s="3" t="s">
        <v>694</v>
      </c>
      <c r="C625" s="3" t="s">
        <v>242</v>
      </c>
      <c r="D625" s="4">
        <v>1067.43</v>
      </c>
      <c r="E625" s="304">
        <v>0</v>
      </c>
      <c r="F625" s="60">
        <v>0</v>
      </c>
      <c r="G625" s="4">
        <v>1500</v>
      </c>
      <c r="H625" s="4">
        <v>1280.92</v>
      </c>
    </row>
    <row r="626" spans="2:8" ht="12" customHeight="1" outlineLevel="2">
      <c r="B626" s="3" t="s">
        <v>695</v>
      </c>
      <c r="C626" s="3" t="s">
        <v>387</v>
      </c>
      <c r="D626" s="4">
        <v>0</v>
      </c>
      <c r="E626" s="304">
        <v>0</v>
      </c>
      <c r="F626" s="304">
        <v>0</v>
      </c>
      <c r="G626" s="4">
        <v>0</v>
      </c>
      <c r="H626" s="4">
        <v>0</v>
      </c>
    </row>
    <row r="627" spans="2:9" ht="12" customHeight="1" outlineLevel="2">
      <c r="B627" s="3" t="s">
        <v>696</v>
      </c>
      <c r="C627" s="3" t="s">
        <v>335</v>
      </c>
      <c r="D627" s="4">
        <v>386.12</v>
      </c>
      <c r="E627" s="304">
        <v>500</v>
      </c>
      <c r="F627" s="304">
        <v>500</v>
      </c>
      <c r="G627" s="4">
        <v>500</v>
      </c>
      <c r="H627" s="4">
        <v>463.34</v>
      </c>
      <c r="I627" s="309" t="s">
        <v>1165</v>
      </c>
    </row>
    <row r="628" spans="2:9" ht="12" customHeight="1" outlineLevel="2">
      <c r="B628" s="3" t="s">
        <v>697</v>
      </c>
      <c r="C628" s="3" t="s">
        <v>394</v>
      </c>
      <c r="D628" s="4">
        <v>302.69</v>
      </c>
      <c r="E628" s="304">
        <v>405</v>
      </c>
      <c r="F628" s="304">
        <v>405</v>
      </c>
      <c r="G628" s="4">
        <v>405</v>
      </c>
      <c r="H628" s="4">
        <v>363.23</v>
      </c>
      <c r="I628" s="309" t="s">
        <v>1166</v>
      </c>
    </row>
    <row r="629" spans="2:8" ht="12" customHeight="1" outlineLevel="2">
      <c r="B629" s="3" t="s">
        <v>698</v>
      </c>
      <c r="C629" s="3" t="s">
        <v>265</v>
      </c>
      <c r="D629" s="4">
        <v>0</v>
      </c>
      <c r="E629" s="304">
        <v>0</v>
      </c>
      <c r="F629" s="304">
        <v>0</v>
      </c>
      <c r="G629" s="4">
        <v>0</v>
      </c>
      <c r="H629" s="4">
        <v>0</v>
      </c>
    </row>
    <row r="630" spans="1:11" s="241" customFormat="1" ht="12" customHeight="1" outlineLevel="2">
      <c r="A630" s="473"/>
      <c r="B630" s="242" t="s">
        <v>699</v>
      </c>
      <c r="C630" s="242" t="s">
        <v>194</v>
      </c>
      <c r="D630" s="243">
        <v>7808</v>
      </c>
      <c r="E630" s="304">
        <v>7808</v>
      </c>
      <c r="F630" s="304">
        <v>7808</v>
      </c>
      <c r="G630" s="243">
        <v>7808</v>
      </c>
      <c r="H630" s="243">
        <v>9369.6</v>
      </c>
      <c r="I630" s="309" t="s">
        <v>1169</v>
      </c>
      <c r="J630" s="473"/>
      <c r="K630" s="473"/>
    </row>
    <row r="631" spans="2:8" ht="12" customHeight="1" outlineLevel="2">
      <c r="B631" s="3" t="s">
        <v>700</v>
      </c>
      <c r="C631" s="3" t="s">
        <v>338</v>
      </c>
      <c r="D631" s="4">
        <v>0</v>
      </c>
      <c r="E631" s="304">
        <v>0</v>
      </c>
      <c r="F631" s="304">
        <v>0</v>
      </c>
      <c r="G631" s="4">
        <v>0</v>
      </c>
      <c r="H631" s="4">
        <v>0</v>
      </c>
    </row>
    <row r="632" spans="2:8" ht="12" customHeight="1" outlineLevel="2">
      <c r="B632" s="3" t="s">
        <v>701</v>
      </c>
      <c r="C632" s="3" t="s">
        <v>196</v>
      </c>
      <c r="D632" s="4">
        <v>0</v>
      </c>
      <c r="E632" s="304">
        <v>0</v>
      </c>
      <c r="F632" s="304">
        <v>0</v>
      </c>
      <c r="G632" s="4">
        <v>0</v>
      </c>
      <c r="H632" s="4">
        <v>0</v>
      </c>
    </row>
    <row r="633" spans="2:5" ht="12" customHeight="1" outlineLevel="2">
      <c r="B633" s="3"/>
      <c r="C633" s="3"/>
      <c r="E633" s="304">
        <f>SUM(E610:E632)</f>
        <v>41847</v>
      </c>
    </row>
    <row r="634" spans="1:9" s="2" customFormat="1" ht="12" customHeight="1" outlineLevel="2">
      <c r="A634" s="1"/>
      <c r="B634" s="3" t="s">
        <v>795</v>
      </c>
      <c r="C634" s="3"/>
      <c r="D634" s="4"/>
      <c r="E634" s="304">
        <f>SUM(E608:E632)</f>
        <v>146365.06692405563</v>
      </c>
      <c r="F634" s="304">
        <v>146365.06692405563</v>
      </c>
      <c r="G634" s="4">
        <v>110461.96211405563</v>
      </c>
      <c r="H634" s="4"/>
      <c r="I634" s="309"/>
    </row>
    <row r="635" spans="2:3" ht="12" customHeight="1" outlineLevel="2">
      <c r="B635" s="3"/>
      <c r="C635" s="3"/>
    </row>
    <row r="636" spans="2:3" ht="12" customHeight="1" outlineLevel="2">
      <c r="B636" s="3"/>
      <c r="C636" s="3"/>
    </row>
    <row r="637" spans="1:3" ht="12" customHeight="1" outlineLevel="2">
      <c r="A637" s="1" t="s">
        <v>788</v>
      </c>
      <c r="C637" s="3"/>
    </row>
    <row r="638" spans="2:8" ht="12" customHeight="1" outlineLevel="2">
      <c r="B638" s="3" t="s">
        <v>702</v>
      </c>
      <c r="C638" s="3" t="s">
        <v>224</v>
      </c>
      <c r="D638" s="4">
        <v>0</v>
      </c>
      <c r="E638" s="304">
        <v>0</v>
      </c>
      <c r="F638" s="304">
        <v>0</v>
      </c>
      <c r="G638" s="4">
        <v>0</v>
      </c>
      <c r="H638" s="4">
        <v>0</v>
      </c>
    </row>
    <row r="639" spans="1:11" s="241" customFormat="1" ht="12" customHeight="1" outlineLevel="2">
      <c r="A639" s="473"/>
      <c r="B639" s="242" t="s">
        <v>703</v>
      </c>
      <c r="C639" s="242" t="s">
        <v>183</v>
      </c>
      <c r="D639" s="243">
        <v>3478.14</v>
      </c>
      <c r="E639" s="304">
        <v>0</v>
      </c>
      <c r="F639" s="304">
        <v>0</v>
      </c>
      <c r="G639" s="243">
        <v>0</v>
      </c>
      <c r="H639" s="243">
        <v>4173.77</v>
      </c>
      <c r="I639" s="474"/>
      <c r="J639" s="473"/>
      <c r="K639" s="473"/>
    </row>
    <row r="640" spans="2:8" ht="12" customHeight="1" outlineLevel="2">
      <c r="B640" s="3" t="s">
        <v>704</v>
      </c>
      <c r="C640" s="3" t="s">
        <v>460</v>
      </c>
      <c r="D640" s="4">
        <v>0</v>
      </c>
      <c r="E640" s="304">
        <v>0</v>
      </c>
      <c r="F640" s="304">
        <v>0</v>
      </c>
      <c r="G640" s="4">
        <v>0</v>
      </c>
      <c r="H640" s="4">
        <v>0</v>
      </c>
    </row>
    <row r="641" spans="2:8" ht="12" customHeight="1" outlineLevel="2">
      <c r="B641" s="3" t="s">
        <v>705</v>
      </c>
      <c r="C641" s="3" t="s">
        <v>229</v>
      </c>
      <c r="D641" s="4">
        <v>0</v>
      </c>
      <c r="E641" s="304">
        <v>0</v>
      </c>
      <c r="F641" s="304">
        <v>0</v>
      </c>
      <c r="G641" s="4">
        <v>0</v>
      </c>
      <c r="H641" s="4">
        <v>0</v>
      </c>
    </row>
    <row r="642" spans="2:8" ht="12" customHeight="1" outlineLevel="2">
      <c r="B642" s="3" t="s">
        <v>706</v>
      </c>
      <c r="C642" s="3" t="s">
        <v>191</v>
      </c>
      <c r="D642" s="4">
        <v>0</v>
      </c>
      <c r="E642" s="304">
        <v>0</v>
      </c>
      <c r="F642" s="304">
        <v>0</v>
      </c>
      <c r="G642" s="4">
        <v>0</v>
      </c>
      <c r="H642" s="4">
        <v>0</v>
      </c>
    </row>
    <row r="643" spans="2:8" ht="12" customHeight="1" outlineLevel="2">
      <c r="B643" s="3" t="s">
        <v>707</v>
      </c>
      <c r="C643" s="3" t="s">
        <v>235</v>
      </c>
      <c r="D643" s="4">
        <v>0</v>
      </c>
      <c r="E643" s="304">
        <v>0</v>
      </c>
      <c r="F643" s="304">
        <v>0</v>
      </c>
      <c r="G643" s="4">
        <v>0</v>
      </c>
      <c r="H643" s="4">
        <v>0</v>
      </c>
    </row>
    <row r="644" spans="1:11" s="244" customFormat="1" ht="12" customHeight="1" outlineLevel="2">
      <c r="A644" s="473"/>
      <c r="B644" s="242" t="s">
        <v>708</v>
      </c>
      <c r="C644" s="242" t="s">
        <v>205</v>
      </c>
      <c r="D644" s="243">
        <v>20100</v>
      </c>
      <c r="E644" s="304">
        <v>22800</v>
      </c>
      <c r="F644" s="304">
        <v>22800</v>
      </c>
      <c r="G644" s="243">
        <v>22800</v>
      </c>
      <c r="H644" s="243">
        <v>24120</v>
      </c>
      <c r="I644" s="474" t="s">
        <v>1142</v>
      </c>
      <c r="J644" s="473"/>
      <c r="K644" s="473"/>
    </row>
    <row r="645" spans="1:11" s="244" customFormat="1" ht="12" customHeight="1" outlineLevel="2">
      <c r="A645" s="473"/>
      <c r="B645" s="242"/>
      <c r="C645" s="242" t="s">
        <v>1084</v>
      </c>
      <c r="D645" s="243"/>
      <c r="E645" s="304">
        <f>'Work Sheet'!C53</f>
        <v>0</v>
      </c>
      <c r="F645" s="304">
        <v>0</v>
      </c>
      <c r="G645" s="243">
        <v>0</v>
      </c>
      <c r="H645" s="243"/>
      <c r="I645" s="474"/>
      <c r="J645" s="473"/>
      <c r="K645" s="473"/>
    </row>
    <row r="646" spans="1:11" s="30" customFormat="1" ht="12" customHeight="1" outlineLevel="2">
      <c r="A646" s="207"/>
      <c r="B646" s="206"/>
      <c r="C646" s="206" t="s">
        <v>1141</v>
      </c>
      <c r="D646" s="60"/>
      <c r="E646" s="304">
        <v>500</v>
      </c>
      <c r="F646" s="304">
        <v>500</v>
      </c>
      <c r="G646" s="60">
        <v>500</v>
      </c>
      <c r="H646" s="60"/>
      <c r="I646" s="375"/>
      <c r="J646" s="207"/>
      <c r="K646" s="207"/>
    </row>
    <row r="647" spans="2:8" ht="12" customHeight="1" outlineLevel="2">
      <c r="B647" s="3" t="s">
        <v>709</v>
      </c>
      <c r="C647" s="3" t="s">
        <v>710</v>
      </c>
      <c r="D647" s="4">
        <v>0</v>
      </c>
      <c r="E647" s="304">
        <v>0</v>
      </c>
      <c r="F647" s="304">
        <v>0</v>
      </c>
      <c r="G647" s="4">
        <v>0</v>
      </c>
      <c r="H647" s="4">
        <v>0</v>
      </c>
    </row>
    <row r="648" spans="2:8" ht="12" customHeight="1" outlineLevel="2">
      <c r="B648" s="3" t="s">
        <v>711</v>
      </c>
      <c r="C648" s="3" t="s">
        <v>712</v>
      </c>
      <c r="D648" s="4">
        <v>599.4</v>
      </c>
      <c r="E648" s="304">
        <v>0</v>
      </c>
      <c r="F648" s="304">
        <v>0</v>
      </c>
      <c r="G648" s="4">
        <v>0</v>
      </c>
      <c r="H648" s="4">
        <v>719.28</v>
      </c>
    </row>
    <row r="649" spans="2:8" ht="12" customHeight="1" outlineLevel="2">
      <c r="B649" s="3" t="s">
        <v>713</v>
      </c>
      <c r="C649" s="3" t="s">
        <v>710</v>
      </c>
      <c r="D649" s="4">
        <v>0</v>
      </c>
      <c r="E649" s="304">
        <v>0</v>
      </c>
      <c r="F649" s="304">
        <v>0</v>
      </c>
      <c r="G649" s="4">
        <v>0</v>
      </c>
      <c r="H649" s="4">
        <v>0</v>
      </c>
    </row>
    <row r="650" spans="2:8" ht="12" customHeight="1" outlineLevel="2">
      <c r="B650" s="3" t="s">
        <v>714</v>
      </c>
      <c r="C650" s="3" t="s">
        <v>271</v>
      </c>
      <c r="D650" s="4">
        <v>0</v>
      </c>
      <c r="E650" s="304">
        <v>0</v>
      </c>
      <c r="F650" s="304">
        <v>0</v>
      </c>
      <c r="G650" s="4">
        <v>0</v>
      </c>
      <c r="H650" s="4">
        <v>0</v>
      </c>
    </row>
    <row r="651" spans="2:8" ht="12" customHeight="1" outlineLevel="2">
      <c r="B651" s="3" t="s">
        <v>715</v>
      </c>
      <c r="C651" s="3" t="s">
        <v>196</v>
      </c>
      <c r="D651" s="4">
        <v>0</v>
      </c>
      <c r="E651" s="304">
        <v>0</v>
      </c>
      <c r="F651" s="304">
        <v>0</v>
      </c>
      <c r="G651" s="4">
        <v>0</v>
      </c>
      <c r="H651" s="4">
        <v>0</v>
      </c>
    </row>
    <row r="652" spans="2:8" ht="12" customHeight="1" outlineLevel="2">
      <c r="B652" s="3" t="s">
        <v>716</v>
      </c>
      <c r="C652" s="3" t="s">
        <v>717</v>
      </c>
      <c r="D652" s="4">
        <v>0</v>
      </c>
      <c r="E652" s="304">
        <v>0</v>
      </c>
      <c r="F652" s="304">
        <v>0</v>
      </c>
      <c r="G652" s="4">
        <v>0</v>
      </c>
      <c r="H652" s="4">
        <v>0</v>
      </c>
    </row>
    <row r="653" spans="2:8" ht="21.75" customHeight="1" outlineLevel="2">
      <c r="B653" s="3" t="s">
        <v>718</v>
      </c>
      <c r="C653" s="3" t="s">
        <v>719</v>
      </c>
      <c r="D653" s="4">
        <v>0</v>
      </c>
      <c r="E653" s="304">
        <v>0</v>
      </c>
      <c r="F653" s="304">
        <v>0</v>
      </c>
      <c r="G653" s="4">
        <v>0</v>
      </c>
      <c r="H653" s="4">
        <v>0</v>
      </c>
    </row>
    <row r="654" spans="2:8" ht="21.75" customHeight="1" outlineLevel="2">
      <c r="B654" s="3" t="s">
        <v>720</v>
      </c>
      <c r="C654" s="3" t="s">
        <v>721</v>
      </c>
      <c r="D654" s="4">
        <v>0</v>
      </c>
      <c r="E654" s="304">
        <v>0</v>
      </c>
      <c r="F654" s="304">
        <v>0</v>
      </c>
      <c r="G654" s="4">
        <v>0</v>
      </c>
      <c r="H654" s="4">
        <v>0</v>
      </c>
    </row>
    <row r="655" spans="2:8" ht="12" customHeight="1" outlineLevel="2">
      <c r="B655" s="3" t="s">
        <v>722</v>
      </c>
      <c r="C655" s="3" t="s">
        <v>723</v>
      </c>
      <c r="D655" s="4">
        <v>0</v>
      </c>
      <c r="E655" s="304">
        <v>0</v>
      </c>
      <c r="F655" s="304">
        <v>0</v>
      </c>
      <c r="G655" s="4">
        <v>0</v>
      </c>
      <c r="H655" s="4">
        <v>0</v>
      </c>
    </row>
    <row r="656" spans="2:8" ht="12" customHeight="1" outlineLevel="2">
      <c r="B656" s="3" t="s">
        <v>724</v>
      </c>
      <c r="C656" s="3" t="s">
        <v>725</v>
      </c>
      <c r="D656" s="4">
        <v>0</v>
      </c>
      <c r="E656" s="304">
        <v>0</v>
      </c>
      <c r="F656" s="304">
        <v>0</v>
      </c>
      <c r="G656" s="4">
        <v>0</v>
      </c>
      <c r="H656" s="4">
        <v>0</v>
      </c>
    </row>
    <row r="657" spans="1:7" ht="12" customHeight="1" outlineLevel="2">
      <c r="A657" s="1" t="s">
        <v>788</v>
      </c>
      <c r="B657" s="3" t="s">
        <v>795</v>
      </c>
      <c r="C657" s="3"/>
      <c r="E657" s="304">
        <f>SUM(E638:E656)</f>
        <v>23300</v>
      </c>
      <c r="F657" s="304">
        <v>23300</v>
      </c>
      <c r="G657" s="4">
        <v>23300</v>
      </c>
    </row>
    <row r="658" spans="2:3" ht="12" customHeight="1" outlineLevel="2">
      <c r="B658" s="3"/>
      <c r="C658" s="3"/>
    </row>
    <row r="659" spans="2:3" ht="12" customHeight="1" outlineLevel="2">
      <c r="B659" s="3"/>
      <c r="C659" s="3"/>
    </row>
    <row r="660" spans="1:3" ht="12" customHeight="1" outlineLevel="2">
      <c r="A660" s="1" t="s">
        <v>789</v>
      </c>
      <c r="B660" s="1" t="s">
        <v>789</v>
      </c>
      <c r="C660" s="3"/>
    </row>
    <row r="661" spans="2:8" ht="12" customHeight="1" outlineLevel="2">
      <c r="B661" s="3" t="s">
        <v>726</v>
      </c>
      <c r="C661" s="3" t="s">
        <v>200</v>
      </c>
      <c r="D661" s="4">
        <v>0</v>
      </c>
      <c r="E661" s="304">
        <v>0</v>
      </c>
      <c r="F661" s="304">
        <v>0</v>
      </c>
      <c r="G661" s="4">
        <v>0</v>
      </c>
      <c r="H661" s="4">
        <v>0</v>
      </c>
    </row>
    <row r="662" spans="2:8" ht="12" customHeight="1" outlineLevel="2">
      <c r="B662" s="3" t="s">
        <v>727</v>
      </c>
      <c r="C662" s="3" t="s">
        <v>214</v>
      </c>
      <c r="D662" s="4">
        <v>0</v>
      </c>
      <c r="E662" s="304">
        <v>0</v>
      </c>
      <c r="F662" s="304">
        <v>0</v>
      </c>
      <c r="G662" s="4">
        <v>0</v>
      </c>
      <c r="H662" s="4">
        <v>0</v>
      </c>
    </row>
    <row r="663" spans="2:8" ht="21.75" customHeight="1" outlineLevel="2">
      <c r="B663" s="3" t="s">
        <v>728</v>
      </c>
      <c r="C663" s="3" t="s">
        <v>216</v>
      </c>
      <c r="D663" s="4">
        <v>0</v>
      </c>
      <c r="E663" s="304">
        <v>0</v>
      </c>
      <c r="F663" s="304">
        <v>0</v>
      </c>
      <c r="G663" s="4">
        <v>0</v>
      </c>
      <c r="H663" s="4">
        <v>0</v>
      </c>
    </row>
    <row r="664" spans="2:8" ht="12" customHeight="1" outlineLevel="2">
      <c r="B664" s="3" t="s">
        <v>729</v>
      </c>
      <c r="C664" s="3" t="s">
        <v>730</v>
      </c>
      <c r="D664" s="4">
        <v>0</v>
      </c>
      <c r="E664" s="304">
        <v>0</v>
      </c>
      <c r="F664" s="304">
        <v>0</v>
      </c>
      <c r="G664" s="4">
        <v>0</v>
      </c>
      <c r="H664" s="4">
        <v>0</v>
      </c>
    </row>
    <row r="665" spans="2:8" ht="12" customHeight="1" outlineLevel="2">
      <c r="B665" s="3" t="s">
        <v>731</v>
      </c>
      <c r="C665" s="3" t="s">
        <v>224</v>
      </c>
      <c r="D665" s="4">
        <v>0</v>
      </c>
      <c r="E665" s="304">
        <v>0</v>
      </c>
      <c r="F665" s="304">
        <v>0</v>
      </c>
      <c r="G665" s="4">
        <v>0</v>
      </c>
      <c r="H665" s="4">
        <v>0</v>
      </c>
    </row>
    <row r="666" spans="2:8" ht="12" customHeight="1" outlineLevel="2">
      <c r="B666" s="3" t="s">
        <v>732</v>
      </c>
      <c r="C666" s="3" t="s">
        <v>183</v>
      </c>
      <c r="D666" s="4">
        <v>362.71</v>
      </c>
      <c r="E666" s="304">
        <v>0</v>
      </c>
      <c r="F666" s="304">
        <v>0</v>
      </c>
      <c r="G666" s="4">
        <v>0</v>
      </c>
      <c r="H666" s="4">
        <v>435.25</v>
      </c>
    </row>
    <row r="667" spans="2:8" ht="12" customHeight="1" outlineLevel="2">
      <c r="B667" s="3" t="s">
        <v>733</v>
      </c>
      <c r="C667" s="3" t="s">
        <v>229</v>
      </c>
      <c r="D667" s="4">
        <v>0</v>
      </c>
      <c r="E667" s="304">
        <v>0</v>
      </c>
      <c r="F667" s="304">
        <v>0</v>
      </c>
      <c r="G667" s="4">
        <v>0</v>
      </c>
      <c r="H667" s="4">
        <v>0</v>
      </c>
    </row>
    <row r="668" spans="2:8" ht="12" customHeight="1" outlineLevel="2">
      <c r="B668" s="3" t="s">
        <v>734</v>
      </c>
      <c r="C668" s="3" t="s">
        <v>191</v>
      </c>
      <c r="D668" s="4">
        <v>0</v>
      </c>
      <c r="E668" s="304">
        <v>0</v>
      </c>
      <c r="F668" s="304">
        <v>0</v>
      </c>
      <c r="G668" s="4">
        <v>0</v>
      </c>
      <c r="H668" s="4">
        <v>0</v>
      </c>
    </row>
    <row r="669" spans="2:8" ht="12" customHeight="1" outlineLevel="2">
      <c r="B669" s="3" t="s">
        <v>735</v>
      </c>
      <c r="C669" s="3" t="s">
        <v>235</v>
      </c>
      <c r="D669" s="4">
        <v>0</v>
      </c>
      <c r="E669" s="304">
        <v>0</v>
      </c>
      <c r="F669" s="304">
        <v>0</v>
      </c>
      <c r="G669" s="4">
        <v>0</v>
      </c>
      <c r="H669" s="4">
        <v>0</v>
      </c>
    </row>
    <row r="670" spans="2:8" ht="12" customHeight="1" outlineLevel="2">
      <c r="B670" s="3" t="s">
        <v>736</v>
      </c>
      <c r="C670" s="3" t="s">
        <v>205</v>
      </c>
      <c r="D670" s="4">
        <v>0</v>
      </c>
      <c r="E670" s="304">
        <v>0</v>
      </c>
      <c r="F670" s="304">
        <v>0</v>
      </c>
      <c r="G670" s="4">
        <v>0</v>
      </c>
      <c r="H670" s="4">
        <v>0</v>
      </c>
    </row>
    <row r="671" spans="2:8" ht="12" customHeight="1" outlineLevel="2">
      <c r="B671" s="3" t="s">
        <v>737</v>
      </c>
      <c r="C671" s="3" t="s">
        <v>207</v>
      </c>
      <c r="D671" s="4">
        <v>0</v>
      </c>
      <c r="E671" s="304">
        <v>0</v>
      </c>
      <c r="F671" s="304">
        <v>0</v>
      </c>
      <c r="G671" s="4">
        <v>0</v>
      </c>
      <c r="H671" s="4">
        <v>0</v>
      </c>
    </row>
    <row r="672" spans="2:8" ht="12" customHeight="1" outlineLevel="2">
      <c r="B672" s="3" t="s">
        <v>738</v>
      </c>
      <c r="C672" s="3" t="s">
        <v>209</v>
      </c>
      <c r="D672" s="4">
        <v>0</v>
      </c>
      <c r="E672" s="304">
        <v>0</v>
      </c>
      <c r="F672" s="304">
        <v>0</v>
      </c>
      <c r="G672" s="4">
        <v>0</v>
      </c>
      <c r="H672" s="4">
        <v>0</v>
      </c>
    </row>
    <row r="673" spans="2:8" ht="12" customHeight="1" outlineLevel="2">
      <c r="B673" s="3" t="s">
        <v>739</v>
      </c>
      <c r="C673" s="3" t="s">
        <v>240</v>
      </c>
      <c r="D673" s="4">
        <v>0</v>
      </c>
      <c r="E673" s="304">
        <v>0</v>
      </c>
      <c r="F673" s="304">
        <v>0</v>
      </c>
      <c r="G673" s="4">
        <v>0</v>
      </c>
      <c r="H673" s="4">
        <v>0</v>
      </c>
    </row>
    <row r="674" spans="2:8" ht="12" customHeight="1" outlineLevel="2">
      <c r="B674" s="3" t="s">
        <v>740</v>
      </c>
      <c r="C674" s="3" t="s">
        <v>263</v>
      </c>
      <c r="D674" s="4">
        <v>69.14</v>
      </c>
      <c r="E674" s="304">
        <v>500</v>
      </c>
      <c r="F674" s="304">
        <v>500</v>
      </c>
      <c r="G674" s="4">
        <v>500</v>
      </c>
      <c r="H674" s="4">
        <v>82.97</v>
      </c>
    </row>
    <row r="675" spans="2:8" ht="12" customHeight="1" outlineLevel="2">
      <c r="B675" s="3" t="s">
        <v>741</v>
      </c>
      <c r="C675" s="3" t="s">
        <v>394</v>
      </c>
      <c r="D675" s="4">
        <v>35.51</v>
      </c>
      <c r="E675" s="304">
        <v>650</v>
      </c>
      <c r="F675" s="60">
        <v>650</v>
      </c>
      <c r="G675" s="4">
        <v>0</v>
      </c>
      <c r="H675" s="4">
        <v>42.61</v>
      </c>
    </row>
    <row r="676" spans="2:8" ht="12" customHeight="1" outlineLevel="2">
      <c r="B676" s="3" t="s">
        <v>742</v>
      </c>
      <c r="C676" s="3" t="s">
        <v>396</v>
      </c>
      <c r="D676" s="4">
        <v>3332.33</v>
      </c>
      <c r="E676" s="304">
        <v>4010</v>
      </c>
      <c r="F676" s="304">
        <v>4010</v>
      </c>
      <c r="G676" s="4">
        <v>4010</v>
      </c>
      <c r="H676" s="4">
        <v>3998.8</v>
      </c>
    </row>
    <row r="677" spans="2:8" ht="12" customHeight="1" outlineLevel="2">
      <c r="B677" s="3" t="s">
        <v>743</v>
      </c>
      <c r="C677" s="3" t="s">
        <v>265</v>
      </c>
      <c r="D677" s="4">
        <v>0</v>
      </c>
      <c r="E677" s="304">
        <v>0</v>
      </c>
      <c r="F677" s="304">
        <v>0</v>
      </c>
      <c r="G677" s="4">
        <v>0</v>
      </c>
      <c r="H677" s="4">
        <v>0</v>
      </c>
    </row>
    <row r="678" spans="1:11" s="244" customFormat="1" ht="12" customHeight="1" outlineLevel="2">
      <c r="A678" s="473"/>
      <c r="B678" s="242" t="s">
        <v>744</v>
      </c>
      <c r="C678" s="242" t="s">
        <v>194</v>
      </c>
      <c r="D678" s="243">
        <v>4877.27</v>
      </c>
      <c r="E678" s="304">
        <v>4000</v>
      </c>
      <c r="F678" s="243">
        <v>4000</v>
      </c>
      <c r="G678" s="243">
        <v>4000</v>
      </c>
      <c r="H678" s="243">
        <v>5852.72</v>
      </c>
      <c r="I678" s="474" t="s">
        <v>1175</v>
      </c>
      <c r="J678" s="473"/>
      <c r="K678" s="473"/>
    </row>
    <row r="679" spans="2:8" ht="12" customHeight="1" outlineLevel="2">
      <c r="B679" s="3" t="s">
        <v>745</v>
      </c>
      <c r="C679" s="3" t="s">
        <v>338</v>
      </c>
      <c r="D679" s="4">
        <v>0</v>
      </c>
      <c r="E679" s="304">
        <v>0</v>
      </c>
      <c r="F679" s="304">
        <v>0</v>
      </c>
      <c r="G679" s="4">
        <v>0</v>
      </c>
      <c r="H679" s="4">
        <v>0</v>
      </c>
    </row>
    <row r="680" spans="2:8" ht="12" customHeight="1" outlineLevel="2">
      <c r="B680" s="3" t="s">
        <v>746</v>
      </c>
      <c r="C680" s="3" t="s">
        <v>271</v>
      </c>
      <c r="D680" s="4">
        <v>9169</v>
      </c>
      <c r="E680" s="304">
        <v>0</v>
      </c>
      <c r="F680" s="304">
        <v>0</v>
      </c>
      <c r="G680" s="4">
        <v>0</v>
      </c>
      <c r="H680" s="4">
        <v>11002.8</v>
      </c>
    </row>
    <row r="681" spans="2:8" ht="12" customHeight="1" outlineLevel="2">
      <c r="B681" s="3" t="s">
        <v>747</v>
      </c>
      <c r="C681" s="3" t="s">
        <v>273</v>
      </c>
      <c r="D681" s="4">
        <v>0</v>
      </c>
      <c r="E681" s="304">
        <v>0</v>
      </c>
      <c r="F681" s="304">
        <v>0</v>
      </c>
      <c r="G681" s="4">
        <v>0</v>
      </c>
      <c r="H681" s="4">
        <v>0</v>
      </c>
    </row>
    <row r="682" spans="1:7" ht="12" customHeight="1" outlineLevel="2">
      <c r="A682" s="1" t="s">
        <v>789</v>
      </c>
      <c r="B682" s="3" t="s">
        <v>795</v>
      </c>
      <c r="C682" s="3"/>
      <c r="E682" s="304">
        <f>SUM(E661:E681)</f>
        <v>9160</v>
      </c>
      <c r="F682" s="304">
        <v>9160</v>
      </c>
      <c r="G682" s="4">
        <v>8510</v>
      </c>
    </row>
    <row r="683" spans="2:3" ht="12" customHeight="1" outlineLevel="2">
      <c r="B683" s="3"/>
      <c r="C683" s="3"/>
    </row>
    <row r="684" spans="2:3" ht="12" customHeight="1" outlineLevel="2">
      <c r="B684" s="3"/>
      <c r="C684" s="3"/>
    </row>
    <row r="685" spans="2:3" ht="12" customHeight="1" outlineLevel="2">
      <c r="B685" s="1" t="s">
        <v>812</v>
      </c>
      <c r="C685" s="3"/>
    </row>
    <row r="686" spans="2:8" ht="12" customHeight="1" outlineLevel="2">
      <c r="B686" s="3" t="s">
        <v>748</v>
      </c>
      <c r="C686" s="3" t="s">
        <v>749</v>
      </c>
      <c r="D686" s="4">
        <v>197497.84</v>
      </c>
      <c r="E686" s="304">
        <f>'Budget Sum'!E42</f>
        <v>197425.2851423866</v>
      </c>
      <c r="F686" s="304">
        <v>197425.2851423866</v>
      </c>
      <c r="G686" s="4">
        <v>197425.2851423866</v>
      </c>
      <c r="H686" s="4">
        <v>236997.41</v>
      </c>
    </row>
    <row r="687" spans="1:9" s="2" customFormat="1" ht="12" customHeight="1" outlineLevel="2">
      <c r="A687" s="1" t="s">
        <v>813</v>
      </c>
      <c r="B687" s="3" t="s">
        <v>794</v>
      </c>
      <c r="C687" s="3"/>
      <c r="D687" s="4">
        <f>D686</f>
        <v>197497.84</v>
      </c>
      <c r="E687" s="304">
        <f>E686</f>
        <v>197425.2851423866</v>
      </c>
      <c r="F687" s="304">
        <v>197425.2851423866</v>
      </c>
      <c r="G687" s="4">
        <v>197425.2851423866</v>
      </c>
      <c r="H687" s="4"/>
      <c r="I687" s="309"/>
    </row>
    <row r="688" spans="2:3" ht="12" customHeight="1" outlineLevel="2">
      <c r="B688" s="3"/>
      <c r="C688" s="3"/>
    </row>
    <row r="689" spans="2:8" ht="12" customHeight="1" outlineLevel="2">
      <c r="B689" s="3" t="s">
        <v>750</v>
      </c>
      <c r="C689" s="3" t="s">
        <v>183</v>
      </c>
      <c r="D689" s="4">
        <v>216547.51</v>
      </c>
      <c r="E689" s="304">
        <f>E686</f>
        <v>197425.2851423866</v>
      </c>
      <c r="F689" s="304">
        <v>197425.2851423866</v>
      </c>
      <c r="G689" s="4">
        <v>197425.2851423866</v>
      </c>
      <c r="H689" s="4">
        <v>259857.01</v>
      </c>
    </row>
    <row r="690" spans="2:8" ht="12" customHeight="1" outlineLevel="2">
      <c r="B690" s="3" t="s">
        <v>751</v>
      </c>
      <c r="C690" s="3" t="s">
        <v>482</v>
      </c>
      <c r="D690" s="4">
        <v>0</v>
      </c>
      <c r="E690" s="304">
        <v>0</v>
      </c>
      <c r="F690" s="304">
        <v>0</v>
      </c>
      <c r="G690" s="4">
        <v>0</v>
      </c>
      <c r="H690" s="4">
        <v>0</v>
      </c>
    </row>
    <row r="691" spans="2:8" ht="12" customHeight="1" outlineLevel="2">
      <c r="B691" s="3" t="s">
        <v>752</v>
      </c>
      <c r="C691" s="3" t="s">
        <v>194</v>
      </c>
      <c r="D691" s="4">
        <v>0</v>
      </c>
      <c r="E691" s="304">
        <v>0</v>
      </c>
      <c r="F691" s="304">
        <v>0</v>
      </c>
      <c r="G691" s="4">
        <v>0</v>
      </c>
      <c r="H691" s="4">
        <v>0</v>
      </c>
    </row>
    <row r="692" spans="1:12" s="2" customFormat="1" ht="12" customHeight="1" outlineLevel="2">
      <c r="A692" s="1" t="s">
        <v>812</v>
      </c>
      <c r="B692" s="3" t="s">
        <v>800</v>
      </c>
      <c r="C692" s="3"/>
      <c r="D692" s="4"/>
      <c r="E692" s="304">
        <f>E689</f>
        <v>197425.2851423866</v>
      </c>
      <c r="F692" s="304">
        <v>197425.2851423866</v>
      </c>
      <c r="G692" s="4">
        <v>197425.2851423866</v>
      </c>
      <c r="H692" s="4"/>
      <c r="I692" s="309"/>
      <c r="L692"/>
    </row>
    <row r="693" spans="2:3" ht="12" customHeight="1" outlineLevel="2">
      <c r="B693" s="3"/>
      <c r="C693" s="3"/>
    </row>
    <row r="694" spans="2:3" ht="12" customHeight="1" outlineLevel="2">
      <c r="B694" s="1" t="s">
        <v>790</v>
      </c>
      <c r="C694" s="3"/>
    </row>
    <row r="695" spans="2:8" ht="21.75" customHeight="1" outlineLevel="2">
      <c r="B695" s="3" t="s">
        <v>753</v>
      </c>
      <c r="C695" s="3" t="s">
        <v>159</v>
      </c>
      <c r="D695" s="4">
        <v>231256.92</v>
      </c>
      <c r="E695" s="304">
        <v>1162830</v>
      </c>
      <c r="F695" s="304">
        <v>1162830</v>
      </c>
      <c r="G695" s="4">
        <v>1162830</v>
      </c>
      <c r="H695" s="4">
        <v>277508.3</v>
      </c>
    </row>
    <row r="696" spans="1:12" s="2" customFormat="1" ht="21.75" customHeight="1" outlineLevel="2">
      <c r="A696" s="1" t="s">
        <v>790</v>
      </c>
      <c r="B696" s="3" t="s">
        <v>801</v>
      </c>
      <c r="C696" s="3"/>
      <c r="D696" s="4"/>
      <c r="E696" s="304">
        <f>E695</f>
        <v>1162830</v>
      </c>
      <c r="F696" s="304">
        <v>1162830</v>
      </c>
      <c r="G696" s="4">
        <v>1162830</v>
      </c>
      <c r="H696" s="4"/>
      <c r="I696" s="309"/>
      <c r="L696"/>
    </row>
    <row r="697" spans="2:3" ht="21.75" customHeight="1" outlineLevel="2">
      <c r="B697" s="3"/>
      <c r="C697" s="3"/>
    </row>
    <row r="698" spans="2:8" ht="21.75" customHeight="1" outlineLevel="2">
      <c r="B698" s="3" t="s">
        <v>754</v>
      </c>
      <c r="C698" s="3" t="s">
        <v>755</v>
      </c>
      <c r="D698" s="4">
        <v>0</v>
      </c>
      <c r="E698" s="304">
        <v>11580</v>
      </c>
      <c r="F698" s="304">
        <v>11580</v>
      </c>
      <c r="G698" s="4">
        <v>11580</v>
      </c>
      <c r="H698" s="4">
        <v>0</v>
      </c>
    </row>
    <row r="699" spans="2:8" ht="12" customHeight="1" outlineLevel="2">
      <c r="B699" s="3" t="s">
        <v>756</v>
      </c>
      <c r="C699" s="3" t="s">
        <v>757</v>
      </c>
      <c r="D699" s="4">
        <v>780562.09</v>
      </c>
      <c r="E699" s="304">
        <v>1041000</v>
      </c>
      <c r="F699" s="304">
        <v>1041000</v>
      </c>
      <c r="G699" s="4">
        <v>1041000</v>
      </c>
      <c r="H699" s="4">
        <v>936674.51</v>
      </c>
    </row>
    <row r="700" spans="2:8" ht="12" customHeight="1" outlineLevel="2">
      <c r="B700" s="3" t="s">
        <v>758</v>
      </c>
      <c r="C700" s="3" t="s">
        <v>759</v>
      </c>
      <c r="D700" s="4">
        <v>599297.54</v>
      </c>
      <c r="E700" s="304">
        <v>1347054.48</v>
      </c>
      <c r="F700" s="304">
        <v>1347054.48</v>
      </c>
      <c r="G700" s="4">
        <v>1347054.48</v>
      </c>
      <c r="H700" s="4">
        <v>719157.05</v>
      </c>
    </row>
    <row r="701" spans="1:12" s="2" customFormat="1" ht="12" customHeight="1" outlineLevel="2">
      <c r="A701" s="1" t="s">
        <v>790</v>
      </c>
      <c r="B701" s="3" t="s">
        <v>802</v>
      </c>
      <c r="C701" s="3"/>
      <c r="D701" s="4"/>
      <c r="E701" s="304">
        <f>SUM(E698:E700)</f>
        <v>2399634.48</v>
      </c>
      <c r="F701" s="304">
        <v>2399634.48</v>
      </c>
      <c r="G701" s="4">
        <v>2399634.48</v>
      </c>
      <c r="H701" s="4"/>
      <c r="I701" s="309"/>
      <c r="L701"/>
    </row>
    <row r="702" spans="2:3" ht="12" customHeight="1" outlineLevel="2">
      <c r="B702" s="3"/>
      <c r="C702" s="3"/>
    </row>
    <row r="703" spans="2:3" ht="12" customHeight="1" outlineLevel="2">
      <c r="B703" s="1" t="s">
        <v>791</v>
      </c>
      <c r="C703" s="3"/>
    </row>
    <row r="704" spans="2:8" ht="12" customHeight="1" outlineLevel="2">
      <c r="B704" s="3" t="s">
        <v>760</v>
      </c>
      <c r="C704" s="3" t="s">
        <v>147</v>
      </c>
      <c r="D704" s="4">
        <v>20000</v>
      </c>
      <c r="E704" s="304">
        <v>20000</v>
      </c>
      <c r="F704" s="304">
        <v>20000</v>
      </c>
      <c r="G704" s="4">
        <v>20000</v>
      </c>
      <c r="H704" s="4">
        <v>24000</v>
      </c>
    </row>
    <row r="705" spans="1:7" ht="12" customHeight="1" outlineLevel="2">
      <c r="A705" s="1" t="s">
        <v>1050</v>
      </c>
      <c r="B705" s="3" t="s">
        <v>794</v>
      </c>
      <c r="C705" s="3"/>
      <c r="E705" s="304">
        <f>E704</f>
        <v>20000</v>
      </c>
      <c r="F705" s="304">
        <v>20000</v>
      </c>
      <c r="G705" s="4">
        <v>20000</v>
      </c>
    </row>
    <row r="706" spans="2:3" ht="12" customHeight="1" outlineLevel="2">
      <c r="B706" s="3"/>
      <c r="C706" s="3"/>
    </row>
    <row r="707" spans="2:8" ht="12" customHeight="1" outlineLevel="2">
      <c r="B707" s="3" t="s">
        <v>761</v>
      </c>
      <c r="C707" s="3" t="s">
        <v>194</v>
      </c>
      <c r="D707" s="4">
        <v>3937.72</v>
      </c>
      <c r="E707" s="304">
        <v>20000</v>
      </c>
      <c r="F707" s="304">
        <v>20000</v>
      </c>
      <c r="G707" s="4">
        <v>20000</v>
      </c>
      <c r="H707" s="4">
        <v>4725.26</v>
      </c>
    </row>
    <row r="708" spans="1:7" ht="12" customHeight="1" outlineLevel="2">
      <c r="A708" s="1" t="s">
        <v>791</v>
      </c>
      <c r="B708" s="3" t="s">
        <v>803</v>
      </c>
      <c r="C708" s="3"/>
      <c r="E708" s="304">
        <f>E707</f>
        <v>20000</v>
      </c>
      <c r="F708" s="304">
        <v>20000</v>
      </c>
      <c r="G708" s="4">
        <v>20000</v>
      </c>
    </row>
    <row r="709" spans="1:3" ht="12" customHeight="1" outlineLevel="2">
      <c r="A709" s="1"/>
      <c r="B709" s="3"/>
      <c r="C709" s="3"/>
    </row>
    <row r="710" spans="2:3" ht="12" customHeight="1" outlineLevel="2">
      <c r="B710" s="3" t="s">
        <v>822</v>
      </c>
      <c r="C710" s="3"/>
    </row>
    <row r="711" spans="2:8" ht="12" customHeight="1" outlineLevel="2">
      <c r="B711" s="3" t="s">
        <v>762</v>
      </c>
      <c r="C711" s="3" t="s">
        <v>763</v>
      </c>
      <c r="D711" s="4">
        <v>0</v>
      </c>
      <c r="E711" s="304">
        <v>7760</v>
      </c>
      <c r="F711" s="304">
        <v>7760</v>
      </c>
      <c r="G711" s="4">
        <v>7760</v>
      </c>
      <c r="H711" s="4">
        <v>0</v>
      </c>
    </row>
    <row r="712" spans="2:8" ht="12" customHeight="1" outlineLevel="2">
      <c r="B712" s="3" t="s">
        <v>764</v>
      </c>
      <c r="C712" s="3" t="s">
        <v>765</v>
      </c>
      <c r="D712" s="4">
        <v>9100</v>
      </c>
      <c r="E712" s="304">
        <v>0</v>
      </c>
      <c r="F712" s="304">
        <v>0</v>
      </c>
      <c r="G712" s="4">
        <v>0</v>
      </c>
      <c r="H712" s="4">
        <v>10920</v>
      </c>
    </row>
    <row r="713" spans="2:8" ht="12" customHeight="1" outlineLevel="2">
      <c r="B713" s="3" t="s">
        <v>766</v>
      </c>
      <c r="C713" s="3" t="s">
        <v>183</v>
      </c>
      <c r="D713" s="4">
        <v>0</v>
      </c>
      <c r="E713" s="304">
        <v>0</v>
      </c>
      <c r="F713" s="304">
        <v>0</v>
      </c>
      <c r="G713" s="4">
        <v>0</v>
      </c>
      <c r="H713" s="4">
        <v>0</v>
      </c>
    </row>
    <row r="714" spans="2:8" ht="12" customHeight="1" outlineLevel="2">
      <c r="B714" s="3" t="s">
        <v>767</v>
      </c>
      <c r="C714" s="3" t="s">
        <v>768</v>
      </c>
      <c r="D714" s="4">
        <v>2328.96</v>
      </c>
      <c r="E714" s="304">
        <v>7760</v>
      </c>
      <c r="F714" s="304">
        <v>7760</v>
      </c>
      <c r="G714" s="4">
        <v>7760</v>
      </c>
      <c r="H714" s="4">
        <v>2794.75</v>
      </c>
    </row>
    <row r="715" spans="2:8" ht="12" customHeight="1" outlineLevel="2">
      <c r="B715" s="3" t="s">
        <v>769</v>
      </c>
      <c r="C715" s="3" t="s">
        <v>770</v>
      </c>
      <c r="D715" s="4">
        <v>2282.62</v>
      </c>
      <c r="E715" s="304">
        <v>9100</v>
      </c>
      <c r="F715" s="304">
        <v>9100</v>
      </c>
      <c r="G715" s="4">
        <v>9100</v>
      </c>
      <c r="H715" s="4">
        <v>2739.14</v>
      </c>
    </row>
    <row r="716" spans="2:3" ht="12" customHeight="1" outlineLevel="2">
      <c r="B716" s="3"/>
      <c r="C716" s="3"/>
    </row>
    <row r="717" spans="2:3" ht="12" customHeight="1" outlineLevel="2">
      <c r="B717" s="3" t="s">
        <v>823</v>
      </c>
      <c r="C717" s="3"/>
    </row>
    <row r="718" spans="2:8" ht="12" customHeight="1" outlineLevel="2">
      <c r="B718" s="3" t="s">
        <v>771</v>
      </c>
      <c r="C718" s="3" t="s">
        <v>305</v>
      </c>
      <c r="D718" s="4">
        <v>28328.65</v>
      </c>
      <c r="E718" s="304">
        <v>0</v>
      </c>
      <c r="F718" s="304">
        <v>0</v>
      </c>
      <c r="G718" s="4">
        <v>0</v>
      </c>
      <c r="H718" s="4">
        <v>33994.38</v>
      </c>
    </row>
    <row r="719" spans="2:8" ht="12" customHeight="1" outlineLevel="2">
      <c r="B719" s="3" t="s">
        <v>772</v>
      </c>
      <c r="C719" s="3" t="s">
        <v>344</v>
      </c>
      <c r="D719" s="4">
        <v>75.13</v>
      </c>
      <c r="E719" s="304">
        <v>0</v>
      </c>
      <c r="F719" s="304">
        <v>0</v>
      </c>
      <c r="G719" s="4">
        <v>0</v>
      </c>
      <c r="H719" s="4">
        <v>90.16</v>
      </c>
    </row>
    <row r="720" spans="2:8" ht="12" customHeight="1" outlineLevel="2">
      <c r="B720" s="3" t="s">
        <v>773</v>
      </c>
      <c r="C720" s="3" t="s">
        <v>309</v>
      </c>
      <c r="D720" s="4">
        <v>1680.64</v>
      </c>
      <c r="E720" s="304">
        <v>0</v>
      </c>
      <c r="F720" s="304">
        <v>0</v>
      </c>
      <c r="G720" s="4">
        <v>0</v>
      </c>
      <c r="H720" s="4">
        <v>2016.77</v>
      </c>
    </row>
    <row r="721" spans="2:8" ht="12" customHeight="1" outlineLevel="2">
      <c r="B721" s="3" t="s">
        <v>774</v>
      </c>
      <c r="C721" s="3" t="s">
        <v>311</v>
      </c>
      <c r="D721" s="4">
        <v>393.09</v>
      </c>
      <c r="E721" s="304">
        <v>0</v>
      </c>
      <c r="F721" s="304">
        <v>0</v>
      </c>
      <c r="G721" s="4">
        <v>0</v>
      </c>
      <c r="H721" s="4">
        <v>471.71</v>
      </c>
    </row>
    <row r="722" spans="2:8" ht="12" customHeight="1" outlineLevel="2">
      <c r="B722" s="3" t="s">
        <v>775</v>
      </c>
      <c r="C722" s="3" t="s">
        <v>313</v>
      </c>
      <c r="D722" s="4">
        <v>2028.49</v>
      </c>
      <c r="E722" s="304">
        <v>0</v>
      </c>
      <c r="F722" s="304">
        <v>0</v>
      </c>
      <c r="G722" s="4">
        <v>0</v>
      </c>
      <c r="H722" s="4">
        <v>2434.19</v>
      </c>
    </row>
    <row r="723" spans="2:8" ht="12" customHeight="1" outlineLevel="2">
      <c r="B723" s="3" t="s">
        <v>776</v>
      </c>
      <c r="C723" s="3" t="s">
        <v>315</v>
      </c>
      <c r="D723" s="4">
        <v>6804.63</v>
      </c>
      <c r="E723" s="304">
        <v>0</v>
      </c>
      <c r="F723" s="304">
        <v>0</v>
      </c>
      <c r="G723" s="4">
        <v>0</v>
      </c>
      <c r="H723" s="4">
        <v>8165.56</v>
      </c>
    </row>
    <row r="724" spans="2:8" ht="12" customHeight="1" outlineLevel="2">
      <c r="B724" s="3" t="s">
        <v>777</v>
      </c>
      <c r="C724" s="3" t="s">
        <v>317</v>
      </c>
      <c r="D724" s="4">
        <v>0</v>
      </c>
      <c r="E724" s="304">
        <v>0</v>
      </c>
      <c r="F724" s="304">
        <v>0</v>
      </c>
      <c r="G724" s="4">
        <v>0</v>
      </c>
      <c r="H724" s="4">
        <v>0</v>
      </c>
    </row>
    <row r="725" spans="2:8" ht="12" customHeight="1" outlineLevel="2">
      <c r="B725" s="3" t="s">
        <v>778</v>
      </c>
      <c r="C725" s="3" t="s">
        <v>353</v>
      </c>
      <c r="D725" s="4">
        <v>28.4</v>
      </c>
      <c r="E725" s="304">
        <v>0</v>
      </c>
      <c r="F725" s="304">
        <v>0</v>
      </c>
      <c r="G725" s="4">
        <v>0</v>
      </c>
      <c r="H725" s="4">
        <v>34.08</v>
      </c>
    </row>
    <row r="726" spans="2:8" ht="12" customHeight="1" outlineLevel="2">
      <c r="B726" s="3" t="s">
        <v>779</v>
      </c>
      <c r="C726" s="3" t="s">
        <v>319</v>
      </c>
      <c r="D726" s="4">
        <v>0</v>
      </c>
      <c r="E726" s="304">
        <v>6.2</v>
      </c>
      <c r="F726" s="304">
        <v>6.2</v>
      </c>
      <c r="G726" s="4">
        <v>6.2</v>
      </c>
      <c r="H726" s="4">
        <v>0</v>
      </c>
    </row>
    <row r="729" spans="2:11" ht="15" customHeight="1" outlineLevel="2">
      <c r="B729" s="3" t="s">
        <v>339</v>
      </c>
      <c r="C729" s="3" t="s">
        <v>340</v>
      </c>
      <c r="D729" s="4">
        <v>0</v>
      </c>
      <c r="H729" s="4">
        <v>0</v>
      </c>
      <c r="J729" s="2" t="s">
        <v>821</v>
      </c>
      <c r="K729" s="4">
        <v>50000</v>
      </c>
    </row>
    <row r="730" spans="2:11" ht="15" customHeight="1" outlineLevel="2">
      <c r="B730" s="3"/>
      <c r="C730" s="3"/>
      <c r="K730" s="4"/>
    </row>
    <row r="731" spans="2:11" ht="15" customHeight="1" outlineLevel="2">
      <c r="B731" s="3"/>
      <c r="C731" s="3"/>
      <c r="E731" s="304">
        <f>E208+E266+E307+E352+E452+E523+E593+E633+E657+E682+E692+E708+'Budget Sum'!G20</f>
        <v>1188057.4951423865</v>
      </c>
      <c r="K731" s="4"/>
    </row>
    <row r="732" spans="2:9" s="186" customFormat="1" ht="15" customHeight="1" outlineLevel="2">
      <c r="B732" s="187" t="s">
        <v>1033</v>
      </c>
      <c r="C732" s="187"/>
      <c r="D732" s="188"/>
      <c r="E732" s="308"/>
      <c r="F732" s="308"/>
      <c r="G732" s="188"/>
      <c r="H732" s="188"/>
      <c r="I732" s="310"/>
    </row>
    <row r="733" spans="1:9" ht="25.5">
      <c r="A733" s="16"/>
      <c r="B733" s="17" t="s">
        <v>806</v>
      </c>
      <c r="C733" s="17" t="s">
        <v>807</v>
      </c>
      <c r="D733" s="17"/>
      <c r="E733" s="17" t="s">
        <v>808</v>
      </c>
      <c r="F733" s="17" t="s">
        <v>808</v>
      </c>
      <c r="G733" s="17" t="s">
        <v>808</v>
      </c>
      <c r="H733" s="17"/>
      <c r="I733" s="16" t="s">
        <v>802</v>
      </c>
    </row>
    <row r="734" spans="1:9" ht="12.75">
      <c r="A734" s="2" t="str">
        <f>A687</f>
        <v>FIRE-Santa Fe Co.</v>
      </c>
      <c r="B734" s="61">
        <f>E687</f>
        <v>197425.2851423866</v>
      </c>
      <c r="D734" s="2"/>
      <c r="I734" s="491">
        <f>E692</f>
        <v>197425.2851423866</v>
      </c>
    </row>
    <row r="735" spans="1:9" ht="12.75">
      <c r="A735" s="2" t="str">
        <f>A358</f>
        <v>PUBLIC SAFETY</v>
      </c>
      <c r="B735" s="61">
        <f>E358</f>
        <v>394850.5702847732</v>
      </c>
      <c r="C735" s="61">
        <f>E373</f>
        <v>651424.3253735979</v>
      </c>
      <c r="D735" s="2"/>
      <c r="I735" s="491">
        <f>E452</f>
        <v>247414.51</v>
      </c>
    </row>
    <row r="736" spans="1:9" ht="12.75">
      <c r="A736" s="2" t="str">
        <f>A705</f>
        <v>LAW ENFORCEMENT-Equip.</v>
      </c>
      <c r="B736" s="61">
        <f>E705</f>
        <v>20000</v>
      </c>
      <c r="D736" s="2"/>
      <c r="I736" s="491">
        <f>E708</f>
        <v>20000</v>
      </c>
    </row>
    <row r="737" spans="1:9" ht="12.75">
      <c r="A737" s="2" t="str">
        <f>A321</f>
        <v>ANIMAL CONTROL</v>
      </c>
      <c r="C737" s="61">
        <f>E321</f>
        <v>101563.70432</v>
      </c>
      <c r="D737" s="2"/>
      <c r="I737" s="491">
        <f>E353</f>
        <v>122113.70432</v>
      </c>
    </row>
    <row r="738" spans="1:9" ht="12.75">
      <c r="A738" s="2" t="str">
        <f>A529</f>
        <v>MUNICIPAL STREETS</v>
      </c>
      <c r="B738" s="61">
        <f>E529</f>
        <v>315147.919070748</v>
      </c>
      <c r="C738" s="61">
        <f>E574</f>
        <v>203909.9218395801</v>
      </c>
      <c r="D738" s="2"/>
      <c r="I738" s="491">
        <f>E594</f>
        <v>487545.9218395801</v>
      </c>
    </row>
    <row r="739" spans="1:9" ht="12.75">
      <c r="A739" s="2" t="str">
        <f>A97</f>
        <v>FINANCE &amp; ADMIN</v>
      </c>
      <c r="B739" s="61">
        <f>E97</f>
        <v>1512998.5155020924</v>
      </c>
      <c r="C739" s="61">
        <f>E222</f>
        <v>138071.49960972427</v>
      </c>
      <c r="D739" s="2"/>
      <c r="H739" s="2">
        <f>H97</f>
        <v>0</v>
      </c>
      <c r="I739" s="491">
        <f>E267</f>
        <v>408152.49960972427</v>
      </c>
    </row>
    <row r="740" spans="1:9" ht="12.75">
      <c r="A740" s="2" t="str">
        <f>A608</f>
        <v>COMMUNITY DEV</v>
      </c>
      <c r="C740" s="61">
        <f>E608</f>
        <v>104518.06692405565</v>
      </c>
      <c r="D740" s="2"/>
      <c r="I740" s="491">
        <f>E634</f>
        <v>146365.06692405563</v>
      </c>
    </row>
    <row r="741" spans="1:9" ht="12.75">
      <c r="A741" s="2" t="str">
        <f>A188</f>
        <v>LEGISLATIVE</v>
      </c>
      <c r="C741" s="61">
        <f>E188</f>
        <v>12918</v>
      </c>
      <c r="D741" s="2"/>
      <c r="I741" s="491">
        <f>E209</f>
        <v>38133</v>
      </c>
    </row>
    <row r="742" spans="1:9" ht="12.75">
      <c r="A742" s="2" t="str">
        <f>A271</f>
        <v>JUDICIAL</v>
      </c>
      <c r="B742" s="61">
        <f>E271</f>
        <v>0</v>
      </c>
      <c r="C742" s="61">
        <f>E283</f>
        <v>22593.213929999998</v>
      </c>
      <c r="D742" s="2"/>
      <c r="I742" s="491">
        <f>E308</f>
        <v>30502.213929999998</v>
      </c>
    </row>
    <row r="743" spans="1:9" ht="12.75">
      <c r="A743" s="2" t="str">
        <f>A657</f>
        <v>LIBRARY</v>
      </c>
      <c r="D743" s="2"/>
      <c r="I743" s="491">
        <f>E657</f>
        <v>23300</v>
      </c>
    </row>
    <row r="744" spans="1:9" ht="12.75">
      <c r="A744" s="2" t="str">
        <f>A463</f>
        <v>RECREATION</v>
      </c>
      <c r="B744" s="61">
        <f>E463</f>
        <v>68288</v>
      </c>
      <c r="C744" s="61">
        <f>E497</f>
        <v>85387.49133999998</v>
      </c>
      <c r="D744" s="2"/>
      <c r="I744" s="491">
        <f>E524</f>
        <v>126907.19133999999</v>
      </c>
    </row>
    <row r="745" spans="1:9" ht="12.75">
      <c r="A745" s="2" t="str">
        <f>A682</f>
        <v>COMMUNITY CENTER</v>
      </c>
      <c r="D745" s="2"/>
      <c r="I745" s="491">
        <f>E682</f>
        <v>9160</v>
      </c>
    </row>
    <row r="746" spans="3:9" ht="12.75">
      <c r="C746" s="61">
        <f>SUM(C735:C745)</f>
        <v>1320386.223336958</v>
      </c>
      <c r="D746" s="2"/>
      <c r="I746" s="491"/>
    </row>
    <row r="747" spans="4:9" ht="12.75">
      <c r="D747" s="2"/>
      <c r="I747" s="491"/>
    </row>
    <row r="749" spans="2:11" ht="12.75">
      <c r="B749" s="2" t="str">
        <f>Payroll!A4</f>
        <v>Finance &amp; Adm</v>
      </c>
      <c r="C749" s="61">
        <f>Payroll!B4</f>
        <v>109217.68</v>
      </c>
      <c r="D749" s="61">
        <f>Payroll!C4</f>
        <v>6771.49616</v>
      </c>
      <c r="E749" s="246">
        <f>Payroll!F4</f>
        <v>9993.41772</v>
      </c>
      <c r="F749" s="246">
        <v>9993.41772</v>
      </c>
      <c r="G749" s="61">
        <v>9767.55546</v>
      </c>
      <c r="H749" s="61">
        <f>Payroll!G4</f>
        <v>8976.285591816853</v>
      </c>
      <c r="I749" s="491">
        <f>Payroll!H4</f>
        <v>109.13393790742708</v>
      </c>
      <c r="J749" s="61">
        <f>Payroll!I4</f>
        <v>138071.49960972427</v>
      </c>
      <c r="K749" s="2" t="s">
        <v>878</v>
      </c>
    </row>
    <row r="750" spans="2:11" ht="12.75">
      <c r="B750" s="2" t="str">
        <f>Payroll!A7</f>
        <v>Streets</v>
      </c>
      <c r="C750" s="61">
        <f>Payroll!B7</f>
        <v>143754.63999999998</v>
      </c>
      <c r="D750" s="61">
        <f>Payroll!C7</f>
        <v>8726.78768</v>
      </c>
      <c r="E750" s="246">
        <f>Payroll!F7</f>
        <v>12879.049559999998</v>
      </c>
      <c r="F750" s="246">
        <v>12879.049559999998</v>
      </c>
      <c r="G750" s="61">
        <v>12879.049559999998</v>
      </c>
      <c r="H750" s="61">
        <f>Payroll!G7</f>
        <v>34543.03902434928</v>
      </c>
      <c r="I750" s="491">
        <f>Payroll!H7</f>
        <v>135.6529752308984</v>
      </c>
      <c r="J750" s="61">
        <f>Payroll!I7</f>
        <v>203909.9218395801</v>
      </c>
      <c r="K750" s="2" t="s">
        <v>878</v>
      </c>
    </row>
    <row r="751" spans="2:11" ht="12.75">
      <c r="B751" s="2" t="str">
        <f>Payroll!A12</f>
        <v>Parks &amp; Rec</v>
      </c>
      <c r="C751" s="61">
        <f>Payroll!B12</f>
        <v>36819.63999999999</v>
      </c>
      <c r="D751" s="61">
        <f>Payroll!C12</f>
        <v>2282.8176799999997</v>
      </c>
      <c r="E751" s="246">
        <f>Payroll!F12</f>
        <v>3368.9970599999992</v>
      </c>
      <c r="F751" s="246">
        <v>3368.9970599999992</v>
      </c>
      <c r="G751" s="61">
        <v>3368.9970599999992</v>
      </c>
      <c r="H751" s="61">
        <f>Payroll!G12</f>
        <v>8603.419499999998</v>
      </c>
      <c r="I751" s="491">
        <f>Payroll!H12</f>
        <v>36.776999999999994</v>
      </c>
      <c r="J751" s="61">
        <f>Payroll!I12</f>
        <v>85387.49133999998</v>
      </c>
      <c r="K751" s="2" t="s">
        <v>878</v>
      </c>
    </row>
    <row r="752" spans="2:10" ht="12.75">
      <c r="B752" s="2">
        <f>Payroll!A13</f>
        <v>0</v>
      </c>
      <c r="C752" s="61"/>
      <c r="D752" s="61"/>
      <c r="E752" s="246"/>
      <c r="F752" s="246"/>
      <c r="G752" s="61"/>
      <c r="H752" s="61"/>
      <c r="I752" s="491"/>
      <c r="J752" s="61">
        <f>Payroll!I13</f>
        <v>0</v>
      </c>
    </row>
    <row r="753" spans="2:10" ht="12.75">
      <c r="B753" s="2" t="str">
        <f>Payroll!A14</f>
        <v>Planning</v>
      </c>
      <c r="C753" s="61">
        <f>Payroll!B14</f>
        <v>88424.69999999998</v>
      </c>
      <c r="D753" s="61">
        <f>Payroll!C14</f>
        <v>5482.331399999999</v>
      </c>
      <c r="E753" s="246">
        <f>Payroll!F14</f>
        <v>8090.860049999998</v>
      </c>
      <c r="F753" s="246">
        <v>8090.860049999998</v>
      </c>
      <c r="G753" s="61">
        <v>6602.414909999999</v>
      </c>
      <c r="H753" s="61">
        <f>Payroll!G14</f>
        <v>0</v>
      </c>
      <c r="I753" s="491">
        <f>Payroll!H14</f>
        <v>88.4962240556598</v>
      </c>
      <c r="J753" s="61">
        <f>Payroll!I14</f>
        <v>104518.06692405565</v>
      </c>
    </row>
    <row r="754" spans="2:10" ht="12.75">
      <c r="B754" s="2">
        <f>Payroll!A16</f>
        <v>0</v>
      </c>
      <c r="C754" s="61">
        <f>Payroll!B16</f>
        <v>0</v>
      </c>
      <c r="D754" s="61">
        <f>Payroll!C16</f>
        <v>0</v>
      </c>
      <c r="E754" s="246">
        <f>Payroll!F16</f>
        <v>0</v>
      </c>
      <c r="F754" s="246">
        <v>0</v>
      </c>
      <c r="G754" s="61">
        <v>2976.8902799999996</v>
      </c>
      <c r="H754" s="61">
        <f>Payroll!G16</f>
        <v>0</v>
      </c>
      <c r="I754" s="491">
        <f>Payroll!H16</f>
        <v>0</v>
      </c>
      <c r="J754" s="61">
        <f>Payroll!I16</f>
        <v>0</v>
      </c>
    </row>
    <row r="755" spans="2:11" ht="12.75">
      <c r="B755" s="2" t="str">
        <f>Payroll!A17</f>
        <v>Animal control</v>
      </c>
      <c r="C755" s="61">
        <f>Payroll!B17</f>
        <v>71336.72</v>
      </c>
      <c r="D755" s="61">
        <f>Payroll!C17</f>
        <v>4422.87664</v>
      </c>
      <c r="E755" s="246">
        <f>Payroll!F17</f>
        <v>6527.309880000001</v>
      </c>
      <c r="F755" s="246">
        <v>6527.309880000001</v>
      </c>
      <c r="G755" s="61">
        <v>6527.309880000001</v>
      </c>
      <c r="H755" s="61">
        <f>Payroll!G17</f>
        <v>17243.616</v>
      </c>
      <c r="I755" s="491">
        <f>Payroll!H17</f>
        <v>71.42200000000001</v>
      </c>
      <c r="J755" s="61">
        <f>Payroll!I17</f>
        <v>101563.70432</v>
      </c>
      <c r="K755" s="2" t="s">
        <v>878</v>
      </c>
    </row>
    <row r="756" spans="2:11" ht="12.75">
      <c r="B756" s="2" t="str">
        <f>Payroll!A19</f>
        <v>Court / Planning</v>
      </c>
      <c r="C756" s="61">
        <f>Payroll!B19</f>
        <v>19542.78</v>
      </c>
      <c r="D756" s="61">
        <f>Payroll!C19</f>
        <v>1211.65236</v>
      </c>
      <c r="E756" s="246">
        <f>Payroll!F19</f>
        <v>1348.96437</v>
      </c>
      <c r="F756" s="246">
        <v>1348.96437</v>
      </c>
      <c r="G756" s="61">
        <v>1348.96437</v>
      </c>
      <c r="H756" s="61">
        <f>Payroll!G19</f>
        <v>0</v>
      </c>
      <c r="I756" s="491">
        <f>Payroll!H19</f>
        <v>14.79075</v>
      </c>
      <c r="J756" s="61">
        <f>Payroll!I19</f>
        <v>22593.213929999998</v>
      </c>
      <c r="K756" s="2" t="s">
        <v>878</v>
      </c>
    </row>
    <row r="757" spans="2:11" ht="12.75">
      <c r="B757" s="2" t="str">
        <f>Payroll!A21</f>
        <v>Legislative</v>
      </c>
      <c r="C757" s="61">
        <f>Payroll!B21</f>
        <v>12000</v>
      </c>
      <c r="D757" s="61">
        <f>Payroll!C21</f>
        <v>744</v>
      </c>
      <c r="E757" s="246">
        <f>Payroll!F21</f>
        <v>0</v>
      </c>
      <c r="F757" s="246">
        <v>0</v>
      </c>
      <c r="G757" s="61">
        <v>0</v>
      </c>
      <c r="H757" s="61">
        <f>Payroll!G21</f>
        <v>0</v>
      </c>
      <c r="I757" s="491">
        <f>Payroll!H21</f>
        <v>0</v>
      </c>
      <c r="J757" s="61">
        <f>Payroll!I21</f>
        <v>12918</v>
      </c>
      <c r="K757" s="2" t="s">
        <v>878</v>
      </c>
    </row>
    <row r="758" spans="2:11" ht="12.75">
      <c r="B758" s="2" t="str">
        <f>Payroll!A22</f>
        <v>Police</v>
      </c>
      <c r="C758" s="61">
        <f>Payroll!B22</f>
        <v>421873.504</v>
      </c>
      <c r="D758" s="61">
        <f>Payroll!C22</f>
        <v>26156.157248</v>
      </c>
      <c r="E758" s="246">
        <f>Payroll!F22</f>
        <v>75487.04695999999</v>
      </c>
      <c r="F758" s="246">
        <v>75487.04695999999</v>
      </c>
      <c r="G758" s="61">
        <v>75487.04695999999</v>
      </c>
      <c r="H758" s="61">
        <f>Payroll!G22</f>
        <v>115885.36001721163</v>
      </c>
      <c r="I758" s="491">
        <f>Payroll!H22</f>
        <v>420.73578838636644</v>
      </c>
      <c r="J758" s="61">
        <f>Payroll!I22</f>
        <v>651424.3253735979</v>
      </c>
      <c r="K758" s="2" t="s">
        <v>878</v>
      </c>
    </row>
    <row r="760" ht="12.75">
      <c r="J760" s="61">
        <f>SUM(J749:J758)</f>
        <v>1320386.2233369579</v>
      </c>
    </row>
  </sheetData>
  <sheetProtection/>
  <printOptions gridLines="1" headings="1"/>
  <pageMargins left="0.75" right="0.75" top="1" bottom="1" header="0.5" footer="0.5"/>
  <pageSetup horizontalDpi="300" verticalDpi="300" orientation="landscape" r:id="rId1"/>
  <headerFooter alignWithMargins="0">
    <oddFooter>&amp;C&amp;Z&amp;F&amp;R&amp;P</oddFooter>
  </headerFooter>
  <rowBreaks count="11" manualBreakCount="11">
    <brk id="97" max="255" man="1"/>
    <brk id="180" max="255" man="1"/>
    <brk id="210" max="255" man="1"/>
    <brk id="268" max="255" man="1"/>
    <brk id="309" max="255" man="1"/>
    <brk id="355" max="255" man="1"/>
    <brk id="454" max="255" man="1"/>
    <brk id="525" max="255" man="1"/>
    <brk id="595" max="255" man="1"/>
    <brk id="659" max="255" man="1"/>
    <brk id="68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20"/>
  <sheetViews>
    <sheetView zoomScale="140" zoomScaleNormal="140" zoomScalePageLayoutView="0" workbookViewId="0" topLeftCell="A1">
      <selection activeCell="E6" sqref="E6"/>
    </sheetView>
  </sheetViews>
  <sheetFormatPr defaultColWidth="9.140625" defaultRowHeight="12.75"/>
  <cols>
    <col min="1" max="1" width="21.421875" style="19" customWidth="1"/>
    <col min="2" max="2" width="9.28125" style="19" customWidth="1"/>
    <col min="3" max="7" width="9.28125" style="2" customWidth="1"/>
  </cols>
  <sheetData>
    <row r="1" spans="1:3" ht="20.25">
      <c r="A1" s="168" t="s">
        <v>999</v>
      </c>
      <c r="B1" s="168"/>
      <c r="C1" s="2" t="s">
        <v>1445</v>
      </c>
    </row>
    <row r="2" spans="3:6" ht="13.5" thickBot="1">
      <c r="C2" s="435">
        <v>0.047</v>
      </c>
      <c r="D2" s="435">
        <f>D5/C4</f>
        <v>0.11759093990154923</v>
      </c>
      <c r="E2" s="435">
        <f>E5/E4</f>
        <v>0</v>
      </c>
      <c r="F2" s="2" t="s">
        <v>1309</v>
      </c>
    </row>
    <row r="3" spans="1:7" ht="14.25" thickBot="1" thickTop="1">
      <c r="A3" s="332" t="s">
        <v>1002</v>
      </c>
      <c r="B3" s="333"/>
      <c r="C3" s="229">
        <v>2009</v>
      </c>
      <c r="D3" s="229">
        <f>C3+1</f>
        <v>2010</v>
      </c>
      <c r="E3" s="229">
        <f>D3+1</f>
        <v>2011</v>
      </c>
      <c r="F3" s="229">
        <f>E3+1</f>
        <v>2012</v>
      </c>
      <c r="G3" s="229">
        <f>F3+1</f>
        <v>2013</v>
      </c>
    </row>
    <row r="4" spans="1:7" ht="12.75">
      <c r="A4" s="314" t="s">
        <v>1446</v>
      </c>
      <c r="B4" s="315"/>
      <c r="C4" s="316">
        <f>C7/(1+C2)</f>
        <v>75960146.85909064</v>
      </c>
      <c r="D4" s="316">
        <f>C7</f>
        <v>79530273.76146789</v>
      </c>
      <c r="E4" s="316">
        <f>D4+D5</f>
        <v>88462498.82568806</v>
      </c>
      <c r="F4" s="316">
        <f>E4</f>
        <v>88462498.82568806</v>
      </c>
      <c r="G4" s="232">
        <f>F4</f>
        <v>88462498.82568806</v>
      </c>
    </row>
    <row r="5" spans="1:7" s="377" customFormat="1" ht="12.75">
      <c r="A5" s="494" t="s">
        <v>1444</v>
      </c>
      <c r="B5" s="495"/>
      <c r="C5" s="492">
        <f>C7-C4</f>
        <v>3570126.902377248</v>
      </c>
      <c r="D5" s="492">
        <f>(D32-C32)/$B$9</f>
        <v>8932225.06422018</v>
      </c>
      <c r="E5" s="492">
        <f>(E32-D32)/$B9</f>
        <v>0</v>
      </c>
      <c r="F5" s="492">
        <f>E5</f>
        <v>0</v>
      </c>
      <c r="G5" s="492">
        <f>F5</f>
        <v>0</v>
      </c>
    </row>
    <row r="6" spans="1:7" ht="12.75">
      <c r="A6" s="314" t="s">
        <v>1000</v>
      </c>
      <c r="B6" s="315"/>
      <c r="C6" s="316">
        <v>0</v>
      </c>
      <c r="D6" s="316"/>
      <c r="E6" s="316"/>
      <c r="F6" s="316"/>
      <c r="G6" s="232"/>
    </row>
    <row r="7" spans="1:7" ht="12.75">
      <c r="A7" s="314" t="s">
        <v>1001</v>
      </c>
      <c r="B7" s="315"/>
      <c r="C7" s="316">
        <f>'Budget Sum'!K38</f>
        <v>79530273.76146789</v>
      </c>
      <c r="D7" s="316">
        <f>SUM(D4:D6)</f>
        <v>88462498.82568806</v>
      </c>
      <c r="E7" s="316">
        <f>SUM(E4:E6)</f>
        <v>88462498.82568806</v>
      </c>
      <c r="F7" s="316">
        <f>SUM(F4:F6)</f>
        <v>88462498.82568806</v>
      </c>
      <c r="G7" s="232">
        <f>SUM(G4:G6)</f>
        <v>88462498.82568806</v>
      </c>
    </row>
    <row r="8" spans="1:7" ht="12.75">
      <c r="A8" s="314"/>
      <c r="B8" s="315"/>
      <c r="C8" s="316"/>
      <c r="D8" s="316"/>
      <c r="E8" s="316"/>
      <c r="F8" s="316"/>
      <c r="G8" s="232"/>
    </row>
    <row r="9" spans="1:7" ht="12.75">
      <c r="A9" s="314" t="s">
        <v>1037</v>
      </c>
      <c r="B9" s="323">
        <f>(0.125+1.225+0.5+0.25+0.125+0.5)/100</f>
        <v>0.02725</v>
      </c>
      <c r="C9" s="316">
        <f>C7*$B9</f>
        <v>2167199.96</v>
      </c>
      <c r="D9" s="316">
        <f>D7*$B9</f>
        <v>2410603.093</v>
      </c>
      <c r="E9" s="316">
        <f>E7*$B9</f>
        <v>2410603.093</v>
      </c>
      <c r="F9" s="316">
        <f>F7*$B9</f>
        <v>2410603.093</v>
      </c>
      <c r="G9" s="232">
        <f>G7*$B9</f>
        <v>2410603.093</v>
      </c>
    </row>
    <row r="10" spans="1:7" ht="13.5" thickBot="1">
      <c r="A10" s="319" t="s">
        <v>1003</v>
      </c>
      <c r="B10" s="320"/>
      <c r="C10" s="316">
        <f>'Budget Sum'!C23</f>
        <v>341510.33000000054</v>
      </c>
      <c r="D10" s="316">
        <f>C10</f>
        <v>341510.33000000054</v>
      </c>
      <c r="E10" s="316">
        <f>D10</f>
        <v>341510.33000000054</v>
      </c>
      <c r="F10" s="316">
        <f>E10</f>
        <v>341510.33000000054</v>
      </c>
      <c r="G10" s="232">
        <f>F10</f>
        <v>341510.33000000054</v>
      </c>
    </row>
    <row r="11" spans="1:7" ht="12.75">
      <c r="A11" s="314" t="s">
        <v>1004</v>
      </c>
      <c r="B11" s="315"/>
      <c r="C11" s="324">
        <f>C9+C10</f>
        <v>2508710.2900000005</v>
      </c>
      <c r="D11" s="324">
        <f>D9+D10</f>
        <v>2752113.4230000004</v>
      </c>
      <c r="E11" s="324">
        <f>E9+E10</f>
        <v>2752113.4230000004</v>
      </c>
      <c r="F11" s="324">
        <f>F9+F10</f>
        <v>2752113.4230000004</v>
      </c>
      <c r="G11" s="325">
        <f>G9+G10</f>
        <v>2752113.4230000004</v>
      </c>
    </row>
    <row r="12" spans="2:7" ht="12.75">
      <c r="B12" s="185"/>
      <c r="C12" s="315"/>
      <c r="D12" s="326"/>
      <c r="E12" s="326"/>
      <c r="F12" s="326"/>
      <c r="G12" s="327"/>
    </row>
    <row r="13" spans="1:7" ht="12.75">
      <c r="A13" s="314" t="str">
        <f>'Budget Sum'!A7</f>
        <v>FIRE-Santa Fe Co.</v>
      </c>
      <c r="B13" s="315"/>
      <c r="C13" s="316">
        <f>'Budget Sum'!I7</f>
        <v>197425.2851423866</v>
      </c>
      <c r="D13" s="316">
        <f aca="true" t="shared" si="0" ref="D13:G24">C13</f>
        <v>197425.2851423866</v>
      </c>
      <c r="E13" s="316">
        <f t="shared" si="0"/>
        <v>197425.2851423866</v>
      </c>
      <c r="F13" s="316">
        <f t="shared" si="0"/>
        <v>197425.2851423866</v>
      </c>
      <c r="G13" s="232">
        <f t="shared" si="0"/>
        <v>197425.2851423866</v>
      </c>
    </row>
    <row r="14" spans="1:7" ht="12.75">
      <c r="A14" s="314" t="str">
        <f>'Budget Sum'!A8</f>
        <v>FINANCE &amp; ADMIN</v>
      </c>
      <c r="B14" s="315"/>
      <c r="C14" s="316">
        <f>'Budget Sum'!I8</f>
        <v>408152.49960972427</v>
      </c>
      <c r="D14" s="316">
        <f t="shared" si="0"/>
        <v>408152.49960972427</v>
      </c>
      <c r="E14" s="316">
        <f t="shared" si="0"/>
        <v>408152.49960972427</v>
      </c>
      <c r="F14" s="316">
        <f t="shared" si="0"/>
        <v>408152.49960972427</v>
      </c>
      <c r="G14" s="232">
        <f t="shared" si="0"/>
        <v>408152.49960972427</v>
      </c>
    </row>
    <row r="15" spans="1:7" ht="12.75">
      <c r="A15" s="314" t="str">
        <f>'Budget Sum'!A9</f>
        <v>LEGISLATIVE</v>
      </c>
      <c r="B15" s="315"/>
      <c r="C15" s="316">
        <f>'Budget Sum'!I9</f>
        <v>38133</v>
      </c>
      <c r="D15" s="316">
        <f t="shared" si="0"/>
        <v>38133</v>
      </c>
      <c r="E15" s="316">
        <f t="shared" si="0"/>
        <v>38133</v>
      </c>
      <c r="F15" s="316">
        <f t="shared" si="0"/>
        <v>38133</v>
      </c>
      <c r="G15" s="232">
        <f t="shared" si="0"/>
        <v>38133</v>
      </c>
    </row>
    <row r="16" spans="1:7" ht="12.75">
      <c r="A16" s="314" t="str">
        <f>'Budget Sum'!A10</f>
        <v>JUDICIAL</v>
      </c>
      <c r="B16" s="315"/>
      <c r="C16" s="316">
        <f>'Budget Sum'!I10</f>
        <v>30502.213929999998</v>
      </c>
      <c r="D16" s="316">
        <f t="shared" si="0"/>
        <v>30502.213929999998</v>
      </c>
      <c r="E16" s="316">
        <f t="shared" si="0"/>
        <v>30502.213929999998</v>
      </c>
      <c r="F16" s="316">
        <f t="shared" si="0"/>
        <v>30502.213929999998</v>
      </c>
      <c r="G16" s="232">
        <f t="shared" si="0"/>
        <v>30502.213929999998</v>
      </c>
    </row>
    <row r="17" spans="1:7" ht="12.75">
      <c r="A17" s="314" t="str">
        <f>'Budget Sum'!A11</f>
        <v>ANIMAL CONTROL</v>
      </c>
      <c r="B17" s="315"/>
      <c r="C17" s="316">
        <f>'Budget Sum'!I11</f>
        <v>122113.70432</v>
      </c>
      <c r="D17" s="316">
        <f t="shared" si="0"/>
        <v>122113.70432</v>
      </c>
      <c r="E17" s="316">
        <f t="shared" si="0"/>
        <v>122113.70432</v>
      </c>
      <c r="F17" s="316">
        <f t="shared" si="0"/>
        <v>122113.70432</v>
      </c>
      <c r="G17" s="232">
        <f t="shared" si="0"/>
        <v>122113.70432</v>
      </c>
    </row>
    <row r="18" spans="1:7" ht="12.75">
      <c r="A18" s="314" t="str">
        <f>'Budget Sum'!A12</f>
        <v>PUBLIC SAFETY</v>
      </c>
      <c r="B18" s="315"/>
      <c r="C18" s="316">
        <f>'Budget Sum'!I12</f>
        <v>898838.8353735979</v>
      </c>
      <c r="D18" s="316">
        <f t="shared" si="0"/>
        <v>898838.8353735979</v>
      </c>
      <c r="E18" s="316">
        <f t="shared" si="0"/>
        <v>898838.8353735979</v>
      </c>
      <c r="F18" s="316">
        <f t="shared" si="0"/>
        <v>898838.8353735979</v>
      </c>
      <c r="G18" s="232">
        <f t="shared" si="0"/>
        <v>898838.8353735979</v>
      </c>
    </row>
    <row r="19" spans="1:7" ht="12.75">
      <c r="A19" s="314" t="str">
        <f>'Budget Sum'!A13</f>
        <v>LAW ENFORCEMENT-Equip.</v>
      </c>
      <c r="B19" s="315"/>
      <c r="C19" s="316">
        <f>'Budget Sum'!I13</f>
        <v>20000</v>
      </c>
      <c r="D19" s="316">
        <f t="shared" si="0"/>
        <v>20000</v>
      </c>
      <c r="E19" s="316">
        <f t="shared" si="0"/>
        <v>20000</v>
      </c>
      <c r="F19" s="316">
        <f t="shared" si="0"/>
        <v>20000</v>
      </c>
      <c r="G19" s="232">
        <f t="shared" si="0"/>
        <v>20000</v>
      </c>
    </row>
    <row r="20" spans="1:7" ht="12.75">
      <c r="A20" s="314" t="str">
        <f>'Budget Sum'!A14</f>
        <v>RECREATION</v>
      </c>
      <c r="B20" s="315"/>
      <c r="C20" s="316">
        <f>'Budget Sum'!I14</f>
        <v>126907.19133999999</v>
      </c>
      <c r="D20" s="316">
        <f t="shared" si="0"/>
        <v>126907.19133999999</v>
      </c>
      <c r="E20" s="316">
        <f t="shared" si="0"/>
        <v>126907.19133999999</v>
      </c>
      <c r="F20" s="316">
        <f t="shared" si="0"/>
        <v>126907.19133999999</v>
      </c>
      <c r="G20" s="232">
        <f t="shared" si="0"/>
        <v>126907.19133999999</v>
      </c>
    </row>
    <row r="21" spans="1:7" ht="12.75">
      <c r="A21" s="314" t="str">
        <f>'Budget Sum'!A15</f>
        <v>MUNICIPAL STREETS</v>
      </c>
      <c r="B21" s="315"/>
      <c r="C21" s="316">
        <f>'Budget Sum'!I15</f>
        <v>487545.9218395801</v>
      </c>
      <c r="D21" s="492">
        <f>C21+B120</f>
        <v>576352.9218395802</v>
      </c>
      <c r="E21" s="492">
        <f t="shared" si="0"/>
        <v>576352.9218395802</v>
      </c>
      <c r="F21" s="492">
        <f t="shared" si="0"/>
        <v>576352.9218395802</v>
      </c>
      <c r="G21" s="493">
        <f t="shared" si="0"/>
        <v>576352.9218395802</v>
      </c>
    </row>
    <row r="22" spans="1:7" ht="12.75">
      <c r="A22" s="314" t="str">
        <f>'Budget Sum'!A16</f>
        <v>COMMUNITY DEV</v>
      </c>
      <c r="B22" s="315"/>
      <c r="C22" s="316">
        <f>'Budget Sum'!I16</f>
        <v>146365.06692405563</v>
      </c>
      <c r="D22" s="316">
        <f t="shared" si="0"/>
        <v>146365.06692405563</v>
      </c>
      <c r="E22" s="316">
        <f t="shared" si="0"/>
        <v>146365.06692405563</v>
      </c>
      <c r="F22" s="316">
        <f t="shared" si="0"/>
        <v>146365.06692405563</v>
      </c>
      <c r="G22" s="232">
        <f t="shared" si="0"/>
        <v>146365.06692405563</v>
      </c>
    </row>
    <row r="23" spans="1:7" ht="12.75">
      <c r="A23" s="314" t="str">
        <f>'Budget Sum'!A17</f>
        <v>LIBRARY</v>
      </c>
      <c r="B23" s="315"/>
      <c r="C23" s="316">
        <f>'Budget Sum'!I17</f>
        <v>23300</v>
      </c>
      <c r="D23" s="316">
        <f t="shared" si="0"/>
        <v>23300</v>
      </c>
      <c r="E23" s="316">
        <f t="shared" si="0"/>
        <v>23300</v>
      </c>
      <c r="F23" s="316">
        <f t="shared" si="0"/>
        <v>23300</v>
      </c>
      <c r="G23" s="232">
        <f t="shared" si="0"/>
        <v>23300</v>
      </c>
    </row>
    <row r="24" spans="1:7" ht="12.75">
      <c r="A24" s="314" t="str">
        <f>'Budget Sum'!A18</f>
        <v>COMMUNITY CENTER</v>
      </c>
      <c r="B24" s="315"/>
      <c r="C24" s="316">
        <f>'Budget Sum'!I18</f>
        <v>9160</v>
      </c>
      <c r="D24" s="316">
        <f t="shared" si="0"/>
        <v>9160</v>
      </c>
      <c r="E24" s="316">
        <f t="shared" si="0"/>
        <v>9160</v>
      </c>
      <c r="F24" s="316">
        <f t="shared" si="0"/>
        <v>9160</v>
      </c>
      <c r="G24" s="232">
        <f t="shared" si="0"/>
        <v>9160</v>
      </c>
    </row>
    <row r="25" spans="1:7" s="377" customFormat="1" ht="12.75">
      <c r="A25" s="494" t="str">
        <f>'Budget Sum'!A20</f>
        <v>SEWER DEBT SERVICE</v>
      </c>
      <c r="B25" s="495"/>
      <c r="C25" s="492">
        <f>'Budget Sum'!I20</f>
        <v>0</v>
      </c>
      <c r="D25" s="492">
        <f>E25</f>
        <v>154596.133</v>
      </c>
      <c r="E25" s="492">
        <f>Sewer!D23</f>
        <v>154596.133</v>
      </c>
      <c r="F25" s="492">
        <f>Sewer!D23</f>
        <v>154596.133</v>
      </c>
      <c r="G25" s="493">
        <f>Sewer!D23</f>
        <v>154596.133</v>
      </c>
    </row>
    <row r="26" spans="1:7" ht="12.75">
      <c r="A26" s="314" t="s">
        <v>1029</v>
      </c>
      <c r="B26" s="315"/>
      <c r="C26" s="316"/>
      <c r="D26" s="316">
        <v>0</v>
      </c>
      <c r="E26" s="316">
        <f>D26</f>
        <v>0</v>
      </c>
      <c r="F26" s="316">
        <f>E26</f>
        <v>0</v>
      </c>
      <c r="G26" s="232">
        <f>F26</f>
        <v>0</v>
      </c>
    </row>
    <row r="27" spans="1:7" ht="12.75">
      <c r="A27" s="314" t="s">
        <v>1180</v>
      </c>
      <c r="B27" s="315"/>
      <c r="C27" s="316"/>
      <c r="D27" s="316"/>
      <c r="E27" s="316"/>
      <c r="F27" s="316"/>
      <c r="G27" s="232"/>
    </row>
    <row r="28" spans="1:7" s="189" customFormat="1" ht="12" customHeight="1">
      <c r="A28" s="314" t="s">
        <v>1181</v>
      </c>
      <c r="B28" s="315"/>
      <c r="C28" s="317"/>
      <c r="D28" s="317"/>
      <c r="E28" s="317"/>
      <c r="F28" s="317"/>
      <c r="G28" s="318"/>
    </row>
    <row r="29" spans="1:7" s="189" customFormat="1" ht="11.25" customHeight="1">
      <c r="A29" s="314" t="s">
        <v>1182</v>
      </c>
      <c r="B29" s="315"/>
      <c r="C29" s="317"/>
      <c r="D29" s="317"/>
      <c r="E29" s="317"/>
      <c r="F29" s="317"/>
      <c r="G29" s="318"/>
    </row>
    <row r="30" spans="1:7" ht="12.75">
      <c r="A30" s="314" t="s">
        <v>1005</v>
      </c>
      <c r="B30" s="315"/>
      <c r="C30" s="316"/>
      <c r="D30" s="316"/>
      <c r="E30" s="316"/>
      <c r="F30" s="316"/>
      <c r="G30" s="232"/>
    </row>
    <row r="31" spans="1:7" s="2" customFormat="1" ht="13.5" thickBot="1">
      <c r="A31" s="319" t="s">
        <v>1036</v>
      </c>
      <c r="B31" s="320"/>
      <c r="C31" s="316"/>
      <c r="D31" s="316"/>
      <c r="E31" s="316"/>
      <c r="F31" s="316"/>
      <c r="G31" s="232"/>
    </row>
    <row r="32" spans="1:7" ht="12.75">
      <c r="A32" s="314" t="s">
        <v>1006</v>
      </c>
      <c r="B32" s="315"/>
      <c r="C32" s="324">
        <f>SUM(C13:C31)</f>
        <v>2508443.718479344</v>
      </c>
      <c r="D32" s="324">
        <f>SUM(D13:D31)</f>
        <v>2751846.851479344</v>
      </c>
      <c r="E32" s="324">
        <f>SUM(E13:E31)</f>
        <v>2751846.851479344</v>
      </c>
      <c r="F32" s="324">
        <f>SUM(F13:F31)</f>
        <v>2751846.851479344</v>
      </c>
      <c r="G32" s="325">
        <f>SUM(G13:G31)</f>
        <v>2751846.851479344</v>
      </c>
    </row>
    <row r="33" spans="1:7" ht="12.75">
      <c r="A33" s="314"/>
      <c r="B33" s="315"/>
      <c r="C33" s="316"/>
      <c r="D33" s="316"/>
      <c r="E33" s="316"/>
      <c r="F33" s="316"/>
      <c r="G33" s="232"/>
    </row>
    <row r="34" spans="1:7" ht="13.5" thickBot="1">
      <c r="A34" s="235" t="s">
        <v>965</v>
      </c>
      <c r="B34" s="320"/>
      <c r="C34" s="321">
        <f>C11-C32</f>
        <v>266.5715206563473</v>
      </c>
      <c r="D34" s="321">
        <f>D11-D32</f>
        <v>266.5715206563473</v>
      </c>
      <c r="E34" s="321">
        <f>E11-E32</f>
        <v>266.5715206563473</v>
      </c>
      <c r="F34" s="321">
        <f>F11-F32</f>
        <v>266.5715206563473</v>
      </c>
      <c r="G34" s="322">
        <f>G11-G32</f>
        <v>266.5715206563473</v>
      </c>
    </row>
    <row r="35" spans="1:7" ht="12.75">
      <c r="A35" s="315"/>
      <c r="B35" s="315"/>
      <c r="C35" s="316"/>
      <c r="D35" s="316"/>
      <c r="E35" s="316"/>
      <c r="F35" s="316"/>
      <c r="G35" s="316"/>
    </row>
    <row r="36" spans="1:7" s="142" customFormat="1" ht="13.5" thickBot="1">
      <c r="A36" s="331"/>
      <c r="B36" s="331"/>
      <c r="C36" s="344"/>
      <c r="D36" s="344"/>
      <c r="E36" s="344"/>
      <c r="F36" s="344"/>
      <c r="G36" s="344"/>
    </row>
    <row r="37" spans="1:7" ht="14.25" thickBot="1" thickTop="1">
      <c r="A37" s="332" t="s">
        <v>1183</v>
      </c>
      <c r="B37" s="333"/>
      <c r="C37" s="229">
        <v>2009</v>
      </c>
      <c r="D37" s="229">
        <f>C37+1</f>
        <v>2010</v>
      </c>
      <c r="E37" s="229">
        <f>D37+1</f>
        <v>2011</v>
      </c>
      <c r="F37" s="229">
        <f>E37+1</f>
        <v>2012</v>
      </c>
      <c r="G37" s="229">
        <f>F37+1</f>
        <v>2013</v>
      </c>
    </row>
    <row r="38" spans="1:7" ht="12.75">
      <c r="A38" s="314" t="s">
        <v>1184</v>
      </c>
      <c r="B38" s="315"/>
      <c r="C38" s="324">
        <v>40000</v>
      </c>
      <c r="D38" s="496">
        <v>60000</v>
      </c>
      <c r="E38" s="324">
        <v>130000</v>
      </c>
      <c r="F38" s="324">
        <v>160000</v>
      </c>
      <c r="G38" s="325">
        <v>190000</v>
      </c>
    </row>
    <row r="39" spans="1:7" ht="12.75">
      <c r="A39" s="314" t="s">
        <v>1186</v>
      </c>
      <c r="B39" s="315"/>
      <c r="C39" s="316"/>
      <c r="D39" s="492"/>
      <c r="E39" s="316"/>
      <c r="F39" s="316"/>
      <c r="G39" s="328"/>
    </row>
    <row r="40" spans="1:7" ht="12.75">
      <c r="A40" s="314" t="s">
        <v>1201</v>
      </c>
      <c r="B40" s="315"/>
      <c r="C40" s="316">
        <v>32000</v>
      </c>
      <c r="D40" s="492">
        <v>32000</v>
      </c>
      <c r="E40" s="492">
        <v>0</v>
      </c>
      <c r="F40" s="492">
        <f>E40</f>
        <v>0</v>
      </c>
      <c r="G40" s="493">
        <f>F40</f>
        <v>0</v>
      </c>
    </row>
    <row r="41" spans="1:7" s="2" customFormat="1" ht="13.5" thickBot="1">
      <c r="A41" s="314" t="s">
        <v>1187</v>
      </c>
      <c r="B41" s="315"/>
      <c r="C41" s="497">
        <f>2000*12</f>
        <v>24000</v>
      </c>
      <c r="D41" s="497">
        <f>C41</f>
        <v>24000</v>
      </c>
      <c r="E41" s="321">
        <v>150000</v>
      </c>
      <c r="F41" s="321">
        <v>150000</v>
      </c>
      <c r="G41" s="322">
        <v>150000</v>
      </c>
    </row>
    <row r="42" spans="1:7" ht="13.5" thickBot="1">
      <c r="A42" s="319" t="s">
        <v>1188</v>
      </c>
      <c r="B42" s="320"/>
      <c r="C42" s="321">
        <f>C38-C40-C41</f>
        <v>-16000</v>
      </c>
      <c r="D42" s="321">
        <f>D38-D40-D41</f>
        <v>4000</v>
      </c>
      <c r="E42" s="321">
        <f>E38-E40-E41</f>
        <v>-20000</v>
      </c>
      <c r="F42" s="321">
        <f>F38-F40-F41</f>
        <v>10000</v>
      </c>
      <c r="G42" s="322">
        <f>G38-G40-G41</f>
        <v>40000</v>
      </c>
    </row>
    <row r="43" spans="1:7" ht="13.5" thickBot="1">
      <c r="A43" s="315"/>
      <c r="B43" s="315"/>
      <c r="C43" s="316"/>
      <c r="D43" s="316"/>
      <c r="E43" s="316"/>
      <c r="F43" s="316"/>
      <c r="G43" s="316"/>
    </row>
    <row r="44" spans="1:7" ht="13.5" thickBot="1">
      <c r="A44" s="334" t="s">
        <v>790</v>
      </c>
      <c r="B44" s="341"/>
      <c r="C44" s="340">
        <v>2009</v>
      </c>
      <c r="D44" s="340">
        <f>C44+1</f>
        <v>2010</v>
      </c>
      <c r="E44" s="340">
        <f>D44+1</f>
        <v>2011</v>
      </c>
      <c r="F44" s="340">
        <f>E44+1</f>
        <v>2012</v>
      </c>
      <c r="G44" s="340">
        <f>F44+1</f>
        <v>2013</v>
      </c>
    </row>
    <row r="45" spans="1:7" ht="16.5" thickTop="1">
      <c r="A45" s="500" t="s">
        <v>824</v>
      </c>
      <c r="B45" s="228"/>
      <c r="C45" s="499"/>
      <c r="D45" s="499"/>
      <c r="E45" s="499"/>
      <c r="F45" s="499"/>
      <c r="G45" s="230"/>
    </row>
    <row r="46" spans="1:7" ht="12.75">
      <c r="A46" s="501" t="s">
        <v>794</v>
      </c>
      <c r="B46" s="230" t="s">
        <v>1023</v>
      </c>
      <c r="C46" s="316"/>
      <c r="D46" s="316"/>
      <c r="E46" s="316"/>
      <c r="F46" s="316"/>
      <c r="G46" s="232"/>
    </row>
    <row r="47" spans="1:7" ht="12.75">
      <c r="A47" s="335" t="s">
        <v>1021</v>
      </c>
      <c r="B47" s="232">
        <v>955600</v>
      </c>
      <c r="D47" s="316"/>
      <c r="E47" s="316"/>
      <c r="F47" s="316"/>
      <c r="G47" s="232"/>
    </row>
    <row r="48" spans="1:7" ht="12.75">
      <c r="A48" s="335" t="s">
        <v>1022</v>
      </c>
      <c r="B48" s="232">
        <v>200000</v>
      </c>
      <c r="D48" s="316"/>
      <c r="E48" s="316"/>
      <c r="F48" s="316"/>
      <c r="G48" s="232"/>
    </row>
    <row r="49" spans="1:7" ht="12.75">
      <c r="A49" s="335" t="s">
        <v>1030</v>
      </c>
      <c r="B49" s="502">
        <f>Sewer!D22</f>
        <v>2300000</v>
      </c>
      <c r="D49" s="316"/>
      <c r="E49" s="316"/>
      <c r="F49" s="316"/>
      <c r="G49" s="232"/>
    </row>
    <row r="50" spans="1:7" ht="12.75">
      <c r="A50" s="335" t="s">
        <v>1212</v>
      </c>
      <c r="B50" s="316">
        <f>SUM(B47:B49)</f>
        <v>3455600</v>
      </c>
      <c r="D50" s="316"/>
      <c r="E50" s="316"/>
      <c r="F50" s="316"/>
      <c r="G50" s="232"/>
    </row>
    <row r="51" spans="1:7" ht="12.75">
      <c r="A51" s="501" t="s">
        <v>800</v>
      </c>
      <c r="B51" s="502">
        <f>Sewer!D11</f>
        <v>4895000</v>
      </c>
      <c r="D51" s="316"/>
      <c r="E51" s="316"/>
      <c r="F51" s="316"/>
      <c r="G51" s="232"/>
    </row>
    <row r="52" spans="1:7" ht="12.75">
      <c r="A52" s="503" t="s">
        <v>1211</v>
      </c>
      <c r="B52" s="505">
        <f>B50-B51</f>
        <v>-1439400</v>
      </c>
      <c r="C52" s="554">
        <f>B52</f>
        <v>-1439400</v>
      </c>
      <c r="D52" s="505"/>
      <c r="E52" s="505"/>
      <c r="F52" s="505"/>
      <c r="G52" s="506"/>
    </row>
    <row r="53" spans="1:7" ht="12.75">
      <c r="A53" s="511"/>
      <c r="B53" s="512"/>
      <c r="C53" s="513"/>
      <c r="D53" s="513"/>
      <c r="E53" s="513"/>
      <c r="F53" s="513"/>
      <c r="G53" s="514"/>
    </row>
    <row r="54" spans="1:7" ht="15.75">
      <c r="A54" s="515" t="s">
        <v>1213</v>
      </c>
      <c r="B54" s="512"/>
      <c r="C54" s="513"/>
      <c r="D54" s="513"/>
      <c r="E54" s="513"/>
      <c r="F54" s="513"/>
      <c r="G54" s="514"/>
    </row>
    <row r="55" spans="1:7" ht="12.75">
      <c r="A55" s="549" t="s">
        <v>1315</v>
      </c>
      <c r="B55" s="548"/>
      <c r="C55" s="513"/>
      <c r="D55" s="513"/>
      <c r="E55" s="513"/>
      <c r="F55" s="513"/>
      <c r="G55" s="514"/>
    </row>
    <row r="56" spans="1:7" s="509" customFormat="1" ht="21" customHeight="1">
      <c r="A56" s="510" t="str">
        <f>'Rd-MAP'!B3</f>
        <v>Frost Road-New Bridge</v>
      </c>
      <c r="B56" s="517" t="s">
        <v>1314</v>
      </c>
      <c r="C56" s="518">
        <f>'Rd-MAP'!E8</f>
        <v>-178820</v>
      </c>
      <c r="D56" s="507"/>
      <c r="E56" s="507"/>
      <c r="F56" s="507"/>
      <c r="G56" s="508"/>
    </row>
    <row r="57" spans="1:7" s="509" customFormat="1" ht="20.25" customHeight="1">
      <c r="A57" s="510" t="str">
        <f>'Rd-MAP'!B10</f>
        <v>Williams Ranch Rd  1.3 miles</v>
      </c>
      <c r="B57" s="517" t="s">
        <v>1314</v>
      </c>
      <c r="C57" s="516"/>
      <c r="D57" s="507" t="e">
        <f>'Rd-MAP'!F17</f>
        <v>#REF!</v>
      </c>
      <c r="E57" s="507"/>
      <c r="F57" s="507"/>
      <c r="G57" s="508"/>
    </row>
    <row r="58" spans="1:7" s="509" customFormat="1" ht="26.25" customHeight="1">
      <c r="A58" s="510" t="str">
        <f>'Rd-MAP'!B19</f>
        <v>Church Road  1.0 mile + culvert</v>
      </c>
      <c r="B58" s="517" t="s">
        <v>1314</v>
      </c>
      <c r="C58" s="516"/>
      <c r="D58" s="507"/>
      <c r="E58" s="507" t="e">
        <f>'Rd-MAP'!G26</f>
        <v>#REF!</v>
      </c>
      <c r="F58" s="507"/>
      <c r="G58" s="508"/>
    </row>
    <row r="59" spans="1:7" s="509" customFormat="1" ht="26.25" customHeight="1">
      <c r="A59" s="510" t="str">
        <f>'Rd-MAP'!B29</f>
        <v>Dinkle West</v>
      </c>
      <c r="B59" s="517" t="s">
        <v>1314</v>
      </c>
      <c r="C59" s="516"/>
      <c r="D59" s="507"/>
      <c r="E59" s="507"/>
      <c r="F59" s="507" t="e">
        <f>'Rd-MAP'!H36</f>
        <v>#REF!</v>
      </c>
      <c r="G59" s="508"/>
    </row>
    <row r="60" spans="1:7" s="509" customFormat="1" ht="26.25" customHeight="1">
      <c r="A60" s="510">
        <f>'Rd-MAP'!B39</f>
        <v>0</v>
      </c>
      <c r="B60" s="517" t="s">
        <v>1314</v>
      </c>
      <c r="C60" s="516"/>
      <c r="D60" s="507"/>
      <c r="E60" s="507"/>
      <c r="F60" s="507"/>
      <c r="G60" s="508" t="e">
        <f>'Rd-MAP'!I46</f>
        <v>#REF!</v>
      </c>
    </row>
    <row r="61" spans="1:7" s="509" customFormat="1" ht="12.75">
      <c r="A61" s="549" t="s">
        <v>1316</v>
      </c>
      <c r="C61" s="516"/>
      <c r="D61" s="507"/>
      <c r="E61" s="507"/>
      <c r="F61" s="507"/>
      <c r="G61" s="508"/>
    </row>
    <row r="62" spans="1:7" s="509" customFormat="1" ht="21.75" customHeight="1">
      <c r="A62" s="510" t="str">
        <f>'Rd-leg'!C6</f>
        <v>Highway 7-HWY 333 to Windmill  1.33 mi</v>
      </c>
      <c r="B62" s="517" t="s">
        <v>1314</v>
      </c>
      <c r="C62" s="507"/>
      <c r="D62" s="553">
        <f>'Rd-leg'!H6</f>
        <v>0</v>
      </c>
      <c r="E62" s="507"/>
      <c r="G62" s="508"/>
    </row>
    <row r="63" spans="1:7" s="509" customFormat="1" ht="18" customHeight="1">
      <c r="A63" s="510">
        <v>0</v>
      </c>
      <c r="B63" s="517" t="s">
        <v>1314</v>
      </c>
      <c r="C63" s="507"/>
      <c r="D63" s="553">
        <v>0</v>
      </c>
      <c r="E63" s="507"/>
      <c r="G63" s="508"/>
    </row>
    <row r="64" spans="1:7" s="509" customFormat="1" ht="18" customHeight="1">
      <c r="A64" s="510" t="str">
        <f>'Rd-leg'!C12</f>
        <v>Hill Ranch-Horton to 344  2 mi</v>
      </c>
      <c r="B64" s="517" t="s">
        <v>1314</v>
      </c>
      <c r="C64" s="507"/>
      <c r="D64" s="507"/>
      <c r="E64" s="553">
        <f>'Rd-leg'!H12</f>
        <v>0</v>
      </c>
      <c r="G64" s="508"/>
    </row>
    <row r="65" spans="1:7" s="509" customFormat="1" ht="18" customHeight="1">
      <c r="A65" s="510" t="str">
        <f>'Rd-leg'!C14</f>
        <v>Square H-Hwy 344 to Horton 1.2 mi</v>
      </c>
      <c r="B65" s="517" t="s">
        <v>1314</v>
      </c>
      <c r="C65" s="507"/>
      <c r="D65" s="507"/>
      <c r="E65" s="553">
        <f>'Rd-leg'!H14</f>
        <v>0</v>
      </c>
      <c r="G65" s="508"/>
    </row>
    <row r="66" spans="1:7" s="509" customFormat="1" ht="18" customHeight="1">
      <c r="A66" s="510">
        <v>0</v>
      </c>
      <c r="B66" s="517" t="s">
        <v>1314</v>
      </c>
      <c r="C66" s="507"/>
      <c r="D66" s="507"/>
      <c r="E66" s="507"/>
      <c r="F66" s="553">
        <v>0</v>
      </c>
      <c r="G66" s="508"/>
    </row>
    <row r="67" spans="1:7" s="509" customFormat="1" ht="12" customHeight="1">
      <c r="A67" s="510" t="s">
        <v>1328</v>
      </c>
      <c r="B67" s="517" t="s">
        <v>1314</v>
      </c>
      <c r="C67" s="507"/>
      <c r="D67" s="507"/>
      <c r="E67" s="507"/>
      <c r="F67" s="553">
        <v>0</v>
      </c>
      <c r="G67" s="508"/>
    </row>
    <row r="68" spans="1:7" s="509" customFormat="1" ht="12" customHeight="1">
      <c r="A68" s="510" t="s">
        <v>1328</v>
      </c>
      <c r="B68" s="517" t="s">
        <v>1314</v>
      </c>
      <c r="C68" s="507"/>
      <c r="D68" s="507"/>
      <c r="E68" s="507"/>
      <c r="F68" s="553"/>
      <c r="G68" s="508">
        <v>0</v>
      </c>
    </row>
    <row r="69" spans="1:7" s="509" customFormat="1" ht="12" customHeight="1" thickBot="1">
      <c r="A69" s="510" t="s">
        <v>1328</v>
      </c>
      <c r="B69" s="517" t="s">
        <v>1314</v>
      </c>
      <c r="C69" s="507"/>
      <c r="D69" s="507"/>
      <c r="E69" s="507"/>
      <c r="F69" s="553"/>
      <c r="G69" s="508">
        <v>0</v>
      </c>
    </row>
    <row r="70" spans="1:7" ht="12.75">
      <c r="A70" s="555" t="s">
        <v>1332</v>
      </c>
      <c r="B70" s="504"/>
      <c r="C70" s="556">
        <f>SUM(C56:C69)</f>
        <v>-178820</v>
      </c>
      <c r="D70" s="557" t="e">
        <f>SUM(D56:D69)</f>
        <v>#REF!</v>
      </c>
      <c r="E70" s="557" t="e">
        <f>SUM(E56:E69)</f>
        <v>#REF!</v>
      </c>
      <c r="F70" s="557" t="e">
        <f>SUM(F56:F69)</f>
        <v>#REF!</v>
      </c>
      <c r="G70" s="557" t="e">
        <f>SUM(G56:G69)</f>
        <v>#REF!</v>
      </c>
    </row>
    <row r="71" spans="1:7" ht="12.75">
      <c r="A71" s="555"/>
      <c r="B71" s="504"/>
      <c r="C71" s="505"/>
      <c r="D71" s="505"/>
      <c r="E71" s="505"/>
      <c r="F71" s="505"/>
      <c r="G71" s="505"/>
    </row>
    <row r="72" spans="1:7" ht="12.75">
      <c r="A72" s="555" t="s">
        <v>1038</v>
      </c>
      <c r="B72" s="558"/>
      <c r="C72" s="505">
        <v>-750000</v>
      </c>
      <c r="D72" s="559"/>
      <c r="E72" s="505"/>
      <c r="F72" s="505"/>
      <c r="G72" s="506"/>
    </row>
    <row r="73" spans="1:7" s="377" customFormat="1" ht="12.75">
      <c r="A73" s="560" t="s">
        <v>1207</v>
      </c>
      <c r="B73" s="561">
        <f>5*500</f>
        <v>2500</v>
      </c>
      <c r="C73" s="562"/>
      <c r="D73" s="562"/>
      <c r="E73" s="562"/>
      <c r="F73" s="562"/>
      <c r="G73" s="563"/>
    </row>
    <row r="74" spans="1:7" ht="12.75">
      <c r="A74" s="555" t="s">
        <v>961</v>
      </c>
      <c r="B74" s="568"/>
      <c r="C74" s="505">
        <v>-35819</v>
      </c>
      <c r="D74" s="505"/>
      <c r="E74" s="505"/>
      <c r="F74" s="505"/>
      <c r="G74" s="506"/>
    </row>
    <row r="75" spans="1:7" s="377" customFormat="1" ht="12.75">
      <c r="A75" s="564" t="s">
        <v>1376</v>
      </c>
      <c r="B75" s="565"/>
      <c r="C75" s="566">
        <v>-20000</v>
      </c>
      <c r="D75" s="566"/>
      <c r="E75" s="566"/>
      <c r="F75" s="566"/>
      <c r="G75" s="567"/>
    </row>
    <row r="76" spans="1:7" ht="12.75">
      <c r="A76" s="335" t="s">
        <v>1333</v>
      </c>
      <c r="B76" s="191"/>
      <c r="C76" s="316"/>
      <c r="D76" s="316"/>
      <c r="E76" s="316"/>
      <c r="F76" s="316"/>
      <c r="G76" s="232"/>
    </row>
    <row r="77" spans="1:7" ht="12.75">
      <c r="A77" s="314" t="s">
        <v>1025</v>
      </c>
      <c r="B77" s="191">
        <v>55000</v>
      </c>
      <c r="C77" s="338"/>
      <c r="D77" s="316"/>
      <c r="E77" s="316"/>
      <c r="F77" s="316"/>
      <c r="G77" s="232"/>
    </row>
    <row r="78" spans="1:7" ht="12.75">
      <c r="A78" s="314" t="s">
        <v>1027</v>
      </c>
      <c r="B78" s="191">
        <f>legislative!D8</f>
        <v>75000</v>
      </c>
      <c r="C78" s="338"/>
      <c r="D78" s="316"/>
      <c r="E78" s="316"/>
      <c r="F78" s="316"/>
      <c r="G78" s="232"/>
    </row>
    <row r="79" spans="1:7" ht="12.75">
      <c r="A79" s="314" t="s">
        <v>1028</v>
      </c>
      <c r="B79" s="191">
        <f>legislative!C13</f>
        <v>100000</v>
      </c>
      <c r="C79" s="338"/>
      <c r="D79" s="316"/>
      <c r="E79" s="316"/>
      <c r="F79" s="316"/>
      <c r="G79" s="232"/>
    </row>
    <row r="80" spans="1:7" ht="12.75">
      <c r="A80" s="335" t="s">
        <v>1026</v>
      </c>
      <c r="B80" s="191">
        <f>legislative!C12</f>
        <v>510000</v>
      </c>
      <c r="C80" s="316"/>
      <c r="D80" s="316"/>
      <c r="E80" s="316"/>
      <c r="F80" s="316"/>
      <c r="G80" s="232"/>
    </row>
    <row r="81" spans="1:7" ht="13.5" thickBot="1">
      <c r="A81" s="343" t="s">
        <v>1334</v>
      </c>
      <c r="B81" s="342">
        <v>40000</v>
      </c>
      <c r="C81" s="321"/>
      <c r="D81" s="316"/>
      <c r="E81" s="316"/>
      <c r="F81" s="316"/>
      <c r="G81" s="232"/>
    </row>
    <row r="82" spans="1:7" ht="12.75">
      <c r="A82" s="335" t="s">
        <v>1335</v>
      </c>
      <c r="B82" s="233"/>
      <c r="D82" s="337"/>
      <c r="E82" s="316"/>
      <c r="F82" s="316"/>
      <c r="G82" s="232"/>
    </row>
    <row r="83" spans="1:7" ht="12.75">
      <c r="A83" s="314" t="s">
        <v>1357</v>
      </c>
      <c r="B83" s="231">
        <v>250000</v>
      </c>
      <c r="C83" s="316"/>
      <c r="D83" s="316"/>
      <c r="E83" s="316"/>
      <c r="F83" s="316"/>
      <c r="G83" s="232"/>
    </row>
    <row r="84" spans="1:7" ht="12.75">
      <c r="A84" s="314" t="s">
        <v>1034</v>
      </c>
      <c r="B84" s="231">
        <v>75000</v>
      </c>
      <c r="C84" s="316"/>
      <c r="D84" s="316"/>
      <c r="E84" s="316"/>
      <c r="F84" s="316"/>
      <c r="G84" s="232"/>
    </row>
    <row r="85" spans="1:7" ht="12.75">
      <c r="A85" s="339" t="s">
        <v>1185</v>
      </c>
      <c r="B85" s="231">
        <v>50000</v>
      </c>
      <c r="C85" s="316"/>
      <c r="D85" s="316"/>
      <c r="E85" s="316"/>
      <c r="F85" s="316"/>
      <c r="G85" s="232"/>
    </row>
    <row r="86" spans="1:7" ht="12.75">
      <c r="A86" s="314" t="s">
        <v>973</v>
      </c>
      <c r="B86" s="231">
        <v>10000000</v>
      </c>
      <c r="C86" s="316"/>
      <c r="D86" s="316"/>
      <c r="E86" s="316"/>
      <c r="F86" s="316"/>
      <c r="G86" s="232"/>
    </row>
    <row r="87" spans="1:7" ht="12.75">
      <c r="A87" s="335" t="s">
        <v>1035</v>
      </c>
      <c r="B87" s="231">
        <v>510000</v>
      </c>
      <c r="C87" s="316"/>
      <c r="D87" s="316"/>
      <c r="E87" s="316"/>
      <c r="F87" s="316"/>
      <c r="G87" s="232"/>
    </row>
    <row r="89" spans="1:7" ht="12.75">
      <c r="A89" s="335" t="s">
        <v>954</v>
      </c>
      <c r="B89" s="231"/>
      <c r="C89" s="234"/>
      <c r="D89" s="316"/>
      <c r="E89" s="316"/>
      <c r="F89" s="316"/>
      <c r="G89" s="232"/>
    </row>
    <row r="90" spans="1:7" ht="12.75">
      <c r="A90" s="335" t="s">
        <v>955</v>
      </c>
      <c r="B90" s="231">
        <v>100230</v>
      </c>
      <c r="C90" s="316"/>
      <c r="D90" s="316"/>
      <c r="E90" s="316"/>
      <c r="F90" s="316"/>
      <c r="G90" s="232"/>
    </row>
    <row r="91" spans="1:7" ht="12.75">
      <c r="A91" s="335" t="s">
        <v>1190</v>
      </c>
      <c r="B91" s="231">
        <v>17000</v>
      </c>
      <c r="C91" s="316"/>
      <c r="D91" s="316"/>
      <c r="E91" s="316"/>
      <c r="F91" s="316"/>
      <c r="G91" s="232"/>
    </row>
    <row r="92" spans="1:7" ht="12.75">
      <c r="A92" s="335" t="s">
        <v>957</v>
      </c>
      <c r="B92" s="231">
        <v>4500</v>
      </c>
      <c r="C92" s="316"/>
      <c r="D92" s="316"/>
      <c r="E92" s="316"/>
      <c r="F92" s="316"/>
      <c r="G92" s="232"/>
    </row>
    <row r="93" spans="1:7" ht="13.5" thickBot="1">
      <c r="A93" s="343" t="s">
        <v>962</v>
      </c>
      <c r="B93" s="322">
        <v>82000</v>
      </c>
      <c r="C93" s="316"/>
      <c r="D93" s="316"/>
      <c r="E93" s="316"/>
      <c r="F93" s="316"/>
      <c r="G93" s="232"/>
    </row>
    <row r="94" spans="1:7" s="2" customFormat="1" ht="13.5" thickBot="1">
      <c r="A94" s="343" t="s">
        <v>1189</v>
      </c>
      <c r="B94" s="235"/>
      <c r="C94" s="236">
        <f>SUM(C70:C75)+C52</f>
        <v>-2424039</v>
      </c>
      <c r="D94" s="236" t="e">
        <f>D74+D72+D70+D52</f>
        <v>#REF!</v>
      </c>
      <c r="E94" s="236" t="e">
        <f>E74+E72+E70+E52</f>
        <v>#REF!</v>
      </c>
      <c r="F94" s="236" t="e">
        <f>F74+F72+F70+F52</f>
        <v>#REF!</v>
      </c>
      <c r="G94" s="236" t="e">
        <f>G74+G72+G70+G52</f>
        <v>#REF!</v>
      </c>
    </row>
    <row r="95" spans="1:7" s="2" customFormat="1" ht="13.5" thickBot="1">
      <c r="A95" s="190"/>
      <c r="B95" s="190"/>
      <c r="C95" s="234"/>
      <c r="D95" s="234"/>
      <c r="E95" s="234"/>
      <c r="F95" s="234"/>
      <c r="G95" s="234"/>
    </row>
    <row r="96" spans="1:7" ht="15.75">
      <c r="A96" s="349" t="s">
        <v>963</v>
      </c>
      <c r="B96" s="237"/>
      <c r="C96" s="238"/>
      <c r="D96" s="238"/>
      <c r="E96" s="238"/>
      <c r="F96" s="238"/>
      <c r="G96" s="239"/>
    </row>
    <row r="97" spans="1:7" ht="12.75">
      <c r="A97" s="335" t="s">
        <v>964</v>
      </c>
      <c r="B97" s="190"/>
      <c r="C97" s="345">
        <v>2868612</v>
      </c>
      <c r="D97" s="234">
        <f>C103</f>
        <v>351545.93152065633</v>
      </c>
      <c r="E97" s="234" t="e">
        <f>D103</f>
        <v>#REF!</v>
      </c>
      <c r="F97" s="234" t="e">
        <f>E103</f>
        <v>#REF!</v>
      </c>
      <c r="G97" s="231" t="e">
        <f>F103</f>
        <v>#REF!</v>
      </c>
    </row>
    <row r="98" spans="1:7" ht="12.75">
      <c r="A98" s="335" t="s">
        <v>965</v>
      </c>
      <c r="B98" s="190"/>
      <c r="C98" s="234">
        <f>C34</f>
        <v>266.5715206563473</v>
      </c>
      <c r="D98" s="234">
        <f>D34</f>
        <v>266.5715206563473</v>
      </c>
      <c r="E98" s="234">
        <f>E34</f>
        <v>266.5715206563473</v>
      </c>
      <c r="F98" s="234">
        <f>F34</f>
        <v>266.5715206563473</v>
      </c>
      <c r="G98" s="231">
        <f>G34</f>
        <v>266.5715206563473</v>
      </c>
    </row>
    <row r="99" spans="1:7" ht="12.75">
      <c r="A99" s="314" t="s">
        <v>1188</v>
      </c>
      <c r="B99" s="190"/>
      <c r="C99" s="234">
        <f>C42</f>
        <v>-16000</v>
      </c>
      <c r="D99" s="234">
        <f>D42</f>
        <v>4000</v>
      </c>
      <c r="E99" s="234">
        <f>E42</f>
        <v>-20000</v>
      </c>
      <c r="F99" s="234">
        <f>F42</f>
        <v>10000</v>
      </c>
      <c r="G99" s="231">
        <f>G42</f>
        <v>40000</v>
      </c>
    </row>
    <row r="100" spans="1:7" ht="12.75">
      <c r="A100" s="335" t="s">
        <v>1189</v>
      </c>
      <c r="B100" s="190"/>
      <c r="C100" s="234">
        <f>C94</f>
        <v>-2424039</v>
      </c>
      <c r="D100" s="350" t="e">
        <f>D94</f>
        <v>#REF!</v>
      </c>
      <c r="E100" s="234" t="e">
        <f>E94</f>
        <v>#REF!</v>
      </c>
      <c r="F100" s="234" t="e">
        <f>F94</f>
        <v>#REF!</v>
      </c>
      <c r="G100" s="231" t="e">
        <f>G94</f>
        <v>#REF!</v>
      </c>
    </row>
    <row r="101" spans="1:7" s="377" customFormat="1" ht="12.75">
      <c r="A101" s="686" t="s">
        <v>1454</v>
      </c>
      <c r="B101" s="687"/>
      <c r="C101" s="492">
        <f>-6*6414.44</f>
        <v>-38486.64</v>
      </c>
      <c r="D101" s="688"/>
      <c r="E101" s="492"/>
      <c r="F101" s="492"/>
      <c r="G101" s="493"/>
    </row>
    <row r="102" spans="1:7" ht="13.5" thickBot="1">
      <c r="A102" s="335" t="s">
        <v>1410</v>
      </c>
      <c r="B102" s="190"/>
      <c r="C102" s="234">
        <f>-B119</f>
        <v>-38807</v>
      </c>
      <c r="D102" s="350"/>
      <c r="E102" s="234"/>
      <c r="F102" s="234"/>
      <c r="G102" s="231"/>
    </row>
    <row r="103" spans="1:7" ht="12.75">
      <c r="A103" s="335" t="s">
        <v>966</v>
      </c>
      <c r="B103" s="317"/>
      <c r="C103" s="238">
        <f>SUM(C96:C102)</f>
        <v>351545.93152065633</v>
      </c>
      <c r="D103" s="238" t="e">
        <f>SUM(D96:D102)</f>
        <v>#REF!</v>
      </c>
      <c r="E103" s="238" t="e">
        <f>SUM(E96:E102)</f>
        <v>#REF!</v>
      </c>
      <c r="F103" s="238" t="e">
        <f>SUM(F96:F102)</f>
        <v>#REF!</v>
      </c>
      <c r="G103" s="239" t="e">
        <f>SUM(G96:G102)</f>
        <v>#REF!</v>
      </c>
    </row>
    <row r="104" spans="1:7" ht="12.75">
      <c r="A104" s="335"/>
      <c r="B104" s="317"/>
      <c r="C104" s="234"/>
      <c r="D104" s="234"/>
      <c r="E104" s="234"/>
      <c r="F104" s="234"/>
      <c r="G104" s="231"/>
    </row>
    <row r="105" spans="1:7" ht="12.75">
      <c r="A105" s="335" t="s">
        <v>1191</v>
      </c>
      <c r="B105" s="190"/>
      <c r="C105" s="234">
        <v>5000</v>
      </c>
      <c r="D105" s="234">
        <v>5000</v>
      </c>
      <c r="E105" s="234">
        <v>5000</v>
      </c>
      <c r="F105" s="234">
        <v>5000</v>
      </c>
      <c r="G105" s="231">
        <v>5000</v>
      </c>
    </row>
    <row r="106" spans="1:7" ht="12.75">
      <c r="A106" s="351" t="s">
        <v>1192</v>
      </c>
      <c r="B106" s="190"/>
      <c r="C106" s="234">
        <v>5000</v>
      </c>
      <c r="D106" s="234">
        <v>5000</v>
      </c>
      <c r="E106" s="234">
        <v>5000</v>
      </c>
      <c r="F106" s="234">
        <v>5000</v>
      </c>
      <c r="G106" s="231">
        <v>5000</v>
      </c>
    </row>
    <row r="107" spans="1:7" ht="12.75">
      <c r="A107" s="351" t="s">
        <v>1206</v>
      </c>
      <c r="B107" s="234">
        <v>750000</v>
      </c>
      <c r="D107" s="234"/>
      <c r="E107" s="234"/>
      <c r="F107" s="234"/>
      <c r="G107" s="231"/>
    </row>
    <row r="108" spans="1:7" ht="12.75">
      <c r="A108" s="314" t="s">
        <v>1193</v>
      </c>
      <c r="B108" s="190"/>
      <c r="C108" s="234"/>
      <c r="D108" s="234"/>
      <c r="E108" s="234"/>
      <c r="F108" s="234"/>
      <c r="G108" s="231"/>
    </row>
    <row r="109" spans="1:7" ht="12.75">
      <c r="A109" s="314" t="s">
        <v>1194</v>
      </c>
      <c r="B109" s="190"/>
      <c r="C109" s="234">
        <v>30000</v>
      </c>
      <c r="D109" s="234">
        <v>30000</v>
      </c>
      <c r="E109" s="234">
        <v>30000</v>
      </c>
      <c r="F109" s="234">
        <v>30000</v>
      </c>
      <c r="G109" s="231">
        <v>30000</v>
      </c>
    </row>
    <row r="110" spans="1:7" ht="12.75">
      <c r="A110" s="314" t="s">
        <v>1195</v>
      </c>
      <c r="B110" s="190"/>
      <c r="C110" s="234">
        <v>50000</v>
      </c>
      <c r="D110" s="234">
        <v>50000</v>
      </c>
      <c r="E110" s="234">
        <v>50000</v>
      </c>
      <c r="F110" s="234">
        <v>50000</v>
      </c>
      <c r="G110" s="231">
        <v>50000</v>
      </c>
    </row>
    <row r="111" spans="1:7" ht="13.5" thickBot="1">
      <c r="A111" s="336"/>
      <c r="B111" s="346"/>
      <c r="C111" s="316"/>
      <c r="D111" s="316"/>
      <c r="E111" s="316"/>
      <c r="F111" s="316"/>
      <c r="G111" s="232"/>
    </row>
    <row r="112" spans="1:7" ht="12.75">
      <c r="A112" s="336" t="s">
        <v>1196</v>
      </c>
      <c r="B112" s="346"/>
      <c r="C112" s="238">
        <f>C103-SUM(C105:C111)</f>
        <v>261545.93152065633</v>
      </c>
      <c r="D112" s="238" t="e">
        <f>D103-SUM(D105:D111)</f>
        <v>#REF!</v>
      </c>
      <c r="E112" s="238" t="e">
        <f>E103-SUM(E105:E111)</f>
        <v>#REF!</v>
      </c>
      <c r="F112" s="238" t="e">
        <f>F103-SUM(F105:F111)</f>
        <v>#REF!</v>
      </c>
      <c r="G112" s="239" t="e">
        <f>G103-SUM(G105:G111)</f>
        <v>#REF!</v>
      </c>
    </row>
    <row r="113" spans="1:7" s="135" customFormat="1" ht="33.75">
      <c r="A113" s="352" t="s">
        <v>1355</v>
      </c>
      <c r="B113" s="347"/>
      <c r="C113" s="348">
        <f>C32/12</f>
        <v>209036.97653994535</v>
      </c>
      <c r="D113" s="348">
        <f>D32/12</f>
        <v>229320.570956612</v>
      </c>
      <c r="E113" s="348">
        <f>E32/12</f>
        <v>229320.570956612</v>
      </c>
      <c r="F113" s="348">
        <f>F32/12</f>
        <v>229320.570956612</v>
      </c>
      <c r="G113" s="353">
        <f>G32/12</f>
        <v>229320.570956612</v>
      </c>
    </row>
    <row r="114" spans="1:7" ht="13.5" thickBot="1">
      <c r="A114" s="354" t="s">
        <v>1197</v>
      </c>
      <c r="B114" s="355"/>
      <c r="C114" s="321">
        <f>C112-C113</f>
        <v>52508.95498071099</v>
      </c>
      <c r="D114" s="321" t="e">
        <f>D112-D113</f>
        <v>#REF!</v>
      </c>
      <c r="E114" s="321" t="e">
        <f>E112-E113</f>
        <v>#REF!</v>
      </c>
      <c r="F114" s="321" t="e">
        <f>F112-F113</f>
        <v>#REF!</v>
      </c>
      <c r="G114" s="322" t="e">
        <f>G112-G113</f>
        <v>#REF!</v>
      </c>
    </row>
    <row r="115" spans="1:7" ht="13.5" thickBot="1">
      <c r="A115" s="346"/>
      <c r="B115" s="632"/>
      <c r="C115" s="316"/>
      <c r="D115" s="316"/>
      <c r="E115" s="316"/>
      <c r="F115" s="316"/>
      <c r="G115" s="316"/>
    </row>
    <row r="116" spans="1:2" ht="12.75">
      <c r="A116" s="633" t="s">
        <v>1410</v>
      </c>
      <c r="B116" s="634"/>
    </row>
    <row r="117" spans="1:2" ht="12.75">
      <c r="A117" s="314" t="s">
        <v>1415</v>
      </c>
      <c r="B117" s="191">
        <v>30000</v>
      </c>
    </row>
    <row r="118" spans="1:2" ht="12.75">
      <c r="A118" s="314" t="s">
        <v>1416</v>
      </c>
      <c r="B118" s="635">
        <v>20000</v>
      </c>
    </row>
    <row r="119" spans="1:2" ht="12.75">
      <c r="A119" s="314" t="s">
        <v>1214</v>
      </c>
      <c r="B119" s="636">
        <f>B120-B117-B118</f>
        <v>38807</v>
      </c>
    </row>
    <row r="120" spans="1:2" ht="13.5" thickBot="1">
      <c r="A120" s="319"/>
      <c r="B120" s="342">
        <v>88807</v>
      </c>
    </row>
  </sheetData>
  <sheetProtection/>
  <printOptions gridLines="1"/>
  <pageMargins left="0.75" right="0.75" top="1" bottom="1" header="0.5" footer="0.5"/>
  <pageSetup horizontalDpi="300" verticalDpi="300" orientation="landscape" r:id="rId1"/>
  <rowBreaks count="3" manualBreakCount="3">
    <brk id="36" max="255" man="1"/>
    <brk id="43" max="255" man="1"/>
    <brk id="9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A6" sqref="A6:IV7"/>
    </sheetView>
  </sheetViews>
  <sheetFormatPr defaultColWidth="9.140625" defaultRowHeight="12.75"/>
  <cols>
    <col min="1" max="1" width="21.28125" style="0" customWidth="1"/>
    <col min="2" max="2" width="4.8515625" style="0" customWidth="1"/>
    <col min="3" max="3" width="26.421875" style="0" customWidth="1"/>
    <col min="4" max="4" width="6.28125" style="202" customWidth="1"/>
    <col min="5" max="5" width="8.8515625" style="21" customWidth="1"/>
    <col min="10" max="10" width="8.8515625" style="2" customWidth="1"/>
  </cols>
  <sheetData>
    <row r="1" ht="15.75">
      <c r="A1" s="240" t="s">
        <v>1260</v>
      </c>
    </row>
    <row r="2" spans="1:9" ht="12.75">
      <c r="A2" s="2"/>
      <c r="B2" s="2"/>
      <c r="C2" s="2"/>
      <c r="D2" s="202" t="s">
        <v>1216</v>
      </c>
      <c r="E2" s="202" t="s">
        <v>1231</v>
      </c>
      <c r="F2" s="202" t="s">
        <v>1232</v>
      </c>
      <c r="G2" s="202" t="s">
        <v>1233</v>
      </c>
      <c r="H2" s="202" t="s">
        <v>1234</v>
      </c>
      <c r="I2" s="202" t="s">
        <v>1235</v>
      </c>
    </row>
    <row r="3" spans="1:9" ht="12.75">
      <c r="A3" s="2" t="s">
        <v>1282</v>
      </c>
      <c r="B3" s="2" t="s">
        <v>1336</v>
      </c>
      <c r="C3" s="2"/>
      <c r="D3" s="202">
        <f>1/8</f>
        <v>0.125</v>
      </c>
      <c r="E3" s="202"/>
      <c r="F3" s="202"/>
      <c r="G3" s="2"/>
      <c r="H3" s="2"/>
      <c r="I3" s="2"/>
    </row>
    <row r="4" spans="1:10" ht="12.75">
      <c r="A4" s="2"/>
      <c r="B4" s="2"/>
      <c r="C4" s="2" t="s">
        <v>1219</v>
      </c>
      <c r="E4" s="403">
        <v>100000</v>
      </c>
      <c r="F4" s="402"/>
      <c r="G4" s="61"/>
      <c r="H4" s="61"/>
      <c r="I4" s="61"/>
      <c r="J4" s="2" t="s">
        <v>1223</v>
      </c>
    </row>
    <row r="5" spans="1:10" ht="12.75">
      <c r="A5" s="2"/>
      <c r="B5" s="2"/>
      <c r="C5" s="2" t="s">
        <v>1220</v>
      </c>
      <c r="E5" s="402">
        <v>60000</v>
      </c>
      <c r="F5" s="402"/>
      <c r="G5" s="61"/>
      <c r="H5" s="61"/>
      <c r="I5" s="61"/>
      <c r="J5" s="2" t="s">
        <v>1223</v>
      </c>
    </row>
    <row r="6" spans="1:9" ht="12.75">
      <c r="A6" s="2"/>
      <c r="B6" s="2"/>
      <c r="C6" s="2" t="s">
        <v>1311</v>
      </c>
      <c r="E6" s="402">
        <f>SUM(E4:E5)</f>
        <v>160000</v>
      </c>
      <c r="F6" s="402"/>
      <c r="G6" s="61"/>
      <c r="H6" s="61"/>
      <c r="I6" s="61"/>
    </row>
    <row r="7" spans="1:9" ht="12.75">
      <c r="A7" s="2"/>
      <c r="B7" s="2"/>
      <c r="C7" s="2" t="s">
        <v>1312</v>
      </c>
      <c r="E7" s="402">
        <v>-338820</v>
      </c>
      <c r="F7" s="402"/>
      <c r="G7" s="61"/>
      <c r="H7" s="61"/>
      <c r="I7" s="61"/>
    </row>
    <row r="8" spans="1:9" ht="12.75">
      <c r="A8" s="2"/>
      <c r="B8" s="2"/>
      <c r="C8" s="2" t="s">
        <v>1313</v>
      </c>
      <c r="E8" s="402">
        <f>E6+E7</f>
        <v>-178820</v>
      </c>
      <c r="F8" s="402"/>
      <c r="G8" s="61"/>
      <c r="H8" s="61"/>
      <c r="I8" s="61"/>
    </row>
    <row r="9" spans="1:9" ht="12.75">
      <c r="A9" s="2"/>
      <c r="B9" s="2"/>
      <c r="C9" s="2"/>
      <c r="E9" s="402"/>
      <c r="F9" s="402"/>
      <c r="G9" s="61"/>
      <c r="H9" s="61"/>
      <c r="I9" s="61"/>
    </row>
    <row r="10" spans="1:9" ht="12.75">
      <c r="A10" s="2" t="s">
        <v>1261</v>
      </c>
      <c r="B10" s="2" t="s">
        <v>1239</v>
      </c>
      <c r="C10" s="2"/>
      <c r="D10" s="202">
        <v>1.3</v>
      </c>
      <c r="E10" s="402"/>
      <c r="F10" s="402"/>
      <c r="G10" s="61"/>
      <c r="H10" s="61"/>
      <c r="I10" s="61"/>
    </row>
    <row r="11" spans="1:10" ht="12.75">
      <c r="A11" s="2" t="s">
        <v>1280</v>
      </c>
      <c r="B11" s="2"/>
      <c r="C11" s="2" t="s">
        <v>1222</v>
      </c>
      <c r="E11" s="402"/>
      <c r="F11" s="402">
        <v>125000</v>
      </c>
      <c r="G11" s="61"/>
      <c r="H11" s="61"/>
      <c r="I11" s="61"/>
      <c r="J11" s="2" t="s">
        <v>1225</v>
      </c>
    </row>
    <row r="12" spans="1:10" ht="12.75">
      <c r="A12" s="2"/>
      <c r="B12" s="2"/>
      <c r="C12" s="2" t="s">
        <v>1226</v>
      </c>
      <c r="E12" s="402"/>
      <c r="F12" s="402">
        <v>60000</v>
      </c>
      <c r="G12" s="61"/>
      <c r="H12" s="61"/>
      <c r="I12" s="61"/>
      <c r="J12" s="2" t="s">
        <v>1225</v>
      </c>
    </row>
    <row r="13" spans="1:9" ht="12.75">
      <c r="A13" s="2"/>
      <c r="B13" s="2"/>
      <c r="C13" s="2" t="s">
        <v>1221</v>
      </c>
      <c r="E13" s="402"/>
      <c r="F13" s="402" t="e">
        <f>#REF!</f>
        <v>#REF!</v>
      </c>
      <c r="G13" s="61"/>
      <c r="H13" s="61"/>
      <c r="I13" s="61"/>
    </row>
    <row r="14" spans="1:9" ht="12.75">
      <c r="A14" s="2"/>
      <c r="B14" s="2"/>
      <c r="C14" s="2" t="s">
        <v>1224</v>
      </c>
      <c r="E14" s="402"/>
      <c r="F14" s="519">
        <v>20000</v>
      </c>
      <c r="G14" s="61"/>
      <c r="H14" s="61"/>
      <c r="I14" s="61"/>
    </row>
    <row r="15" spans="1:9" ht="12.75">
      <c r="A15" s="2"/>
      <c r="B15" s="2"/>
      <c r="C15" s="2" t="s">
        <v>1311</v>
      </c>
      <c r="E15" s="402"/>
      <c r="F15" s="402" t="e">
        <f>SUM(F11:F14)</f>
        <v>#REF!</v>
      </c>
      <c r="G15" s="61"/>
      <c r="H15" s="61"/>
      <c r="I15" s="61"/>
    </row>
    <row r="16" spans="1:9" ht="12.75">
      <c r="A16" s="2"/>
      <c r="B16" s="2"/>
      <c r="C16" s="2" t="s">
        <v>1312</v>
      </c>
      <c r="E16" s="402"/>
      <c r="F16" s="402" t="e">
        <f>-F15</f>
        <v>#REF!</v>
      </c>
      <c r="G16" s="61"/>
      <c r="H16" s="61"/>
      <c r="I16" s="61"/>
    </row>
    <row r="17" spans="1:9" ht="12.75">
      <c r="A17" s="2"/>
      <c r="B17" s="2"/>
      <c r="C17" s="2" t="s">
        <v>1313</v>
      </c>
      <c r="E17" s="402"/>
      <c r="F17" s="402" t="e">
        <f>F15+F16</f>
        <v>#REF!</v>
      </c>
      <c r="G17" s="61"/>
      <c r="H17" s="61"/>
      <c r="I17" s="61"/>
    </row>
    <row r="18" spans="1:9" ht="12.75">
      <c r="A18" s="2"/>
      <c r="B18" s="2"/>
      <c r="C18" s="2"/>
      <c r="E18" s="402"/>
      <c r="F18" s="402"/>
      <c r="G18" s="61"/>
      <c r="H18" s="61"/>
      <c r="I18" s="61"/>
    </row>
    <row r="19" spans="2:5" ht="12.75">
      <c r="B19" s="2" t="s">
        <v>1322</v>
      </c>
      <c r="D19" s="202">
        <v>1</v>
      </c>
      <c r="E19" s="20"/>
    </row>
    <row r="20" spans="1:10" ht="12.75">
      <c r="A20" s="2"/>
      <c r="B20" s="2"/>
      <c r="C20" s="2" t="s">
        <v>1227</v>
      </c>
      <c r="E20" s="402"/>
      <c r="G20" s="402">
        <v>125000</v>
      </c>
      <c r="H20" s="61"/>
      <c r="I20" s="61"/>
      <c r="J20" s="2" t="s">
        <v>1229</v>
      </c>
    </row>
    <row r="21" spans="1:10" ht="12.75">
      <c r="A21" s="2"/>
      <c r="B21" s="2"/>
      <c r="C21" s="2" t="s">
        <v>1228</v>
      </c>
      <c r="E21" s="402"/>
      <c r="G21" s="402">
        <v>60000</v>
      </c>
      <c r="H21" s="61"/>
      <c r="I21" s="61"/>
      <c r="J21" s="2" t="s">
        <v>1229</v>
      </c>
    </row>
    <row r="22" spans="1:9" ht="12.75">
      <c r="A22" s="2"/>
      <c r="B22" s="2"/>
      <c r="C22" s="2" t="s">
        <v>1230</v>
      </c>
      <c r="E22" s="402"/>
      <c r="G22" s="402" t="e">
        <f>#REF!</f>
        <v>#REF!</v>
      </c>
      <c r="H22" s="61"/>
      <c r="I22" s="61"/>
    </row>
    <row r="23" spans="1:9" ht="12.75">
      <c r="A23" s="2"/>
      <c r="B23" s="2"/>
      <c r="C23" s="2" t="s">
        <v>1236</v>
      </c>
      <c r="E23" s="402"/>
      <c r="G23" s="519">
        <v>20000</v>
      </c>
      <c r="H23" s="61"/>
      <c r="I23" s="61"/>
    </row>
    <row r="24" spans="1:9" ht="12.75">
      <c r="A24" s="2"/>
      <c r="B24" s="2"/>
      <c r="C24" s="2" t="s">
        <v>1311</v>
      </c>
      <c r="E24" s="402"/>
      <c r="G24" s="402" t="e">
        <f>SUM(G20:G23)</f>
        <v>#REF!</v>
      </c>
      <c r="H24" s="61"/>
      <c r="I24" s="61"/>
    </row>
    <row r="25" spans="1:9" ht="12.75">
      <c r="A25" s="2"/>
      <c r="B25" s="2"/>
      <c r="C25" s="2" t="s">
        <v>1312</v>
      </c>
      <c r="E25" s="402"/>
      <c r="G25" s="402" t="e">
        <f>-G24</f>
        <v>#REF!</v>
      </c>
      <c r="H25" s="61"/>
      <c r="I25" s="61"/>
    </row>
    <row r="26" spans="1:9" ht="12.75">
      <c r="A26" s="2"/>
      <c r="B26" s="2"/>
      <c r="C26" s="2" t="s">
        <v>1313</v>
      </c>
      <c r="E26" s="402"/>
      <c r="G26" s="402" t="e">
        <f>G24+G25</f>
        <v>#REF!</v>
      </c>
      <c r="H26" s="61"/>
      <c r="I26" s="61"/>
    </row>
    <row r="27" spans="1:9" ht="12.75">
      <c r="A27" s="2"/>
      <c r="B27" s="2"/>
      <c r="C27" s="2"/>
      <c r="E27" s="402"/>
      <c r="G27" s="402"/>
      <c r="H27" s="61"/>
      <c r="I27" s="61"/>
    </row>
    <row r="28" spans="1:9" ht="12.75">
      <c r="A28" s="2"/>
      <c r="B28" s="2"/>
      <c r="C28" s="2"/>
      <c r="E28" s="402"/>
      <c r="G28" s="402"/>
      <c r="H28" s="61"/>
      <c r="I28" s="61"/>
    </row>
    <row r="29" spans="1:6" s="2" customFormat="1" ht="12.75">
      <c r="A29" s="2" t="s">
        <v>1262</v>
      </c>
      <c r="B29" s="2" t="s">
        <v>1359</v>
      </c>
      <c r="D29" s="202">
        <v>0.75</v>
      </c>
      <c r="E29" s="202"/>
      <c r="F29" s="402"/>
    </row>
    <row r="30" spans="1:10" ht="12.75">
      <c r="A30" s="2"/>
      <c r="B30" s="2"/>
      <c r="C30" s="2" t="s">
        <v>1268</v>
      </c>
      <c r="E30" s="402"/>
      <c r="H30" s="402">
        <v>125000</v>
      </c>
      <c r="I30" s="61"/>
      <c r="J30" s="2" t="s">
        <v>1266</v>
      </c>
    </row>
    <row r="31" spans="1:10" ht="12.75">
      <c r="A31" s="2"/>
      <c r="B31" s="2"/>
      <c r="C31" s="2" t="s">
        <v>1269</v>
      </c>
      <c r="E31" s="402"/>
      <c r="H31" s="402">
        <v>60000</v>
      </c>
      <c r="I31" s="61"/>
      <c r="J31" s="2" t="s">
        <v>1266</v>
      </c>
    </row>
    <row r="32" spans="1:9" ht="12.75">
      <c r="A32" s="2"/>
      <c r="B32" s="2"/>
      <c r="C32" s="2" t="s">
        <v>1272</v>
      </c>
      <c r="E32" s="402"/>
      <c r="H32" s="402" t="e">
        <f>G22</f>
        <v>#REF!</v>
      </c>
      <c r="I32" s="61"/>
    </row>
    <row r="33" spans="1:9" ht="12.75">
      <c r="A33" s="2"/>
      <c r="B33" s="2"/>
      <c r="C33" s="2" t="s">
        <v>1273</v>
      </c>
      <c r="E33" s="402"/>
      <c r="H33" s="519">
        <v>20000</v>
      </c>
      <c r="I33" s="61"/>
    </row>
    <row r="34" spans="1:9" ht="12.75">
      <c r="A34" s="2"/>
      <c r="B34" s="2"/>
      <c r="C34" s="2" t="s">
        <v>1311</v>
      </c>
      <c r="E34" s="402"/>
      <c r="H34" s="402" t="e">
        <f>SUM(H30:H33)</f>
        <v>#REF!</v>
      </c>
      <c r="I34" s="61"/>
    </row>
    <row r="35" spans="1:9" ht="12.75">
      <c r="A35" s="2"/>
      <c r="B35" s="2"/>
      <c r="C35" s="2" t="s">
        <v>1312</v>
      </c>
      <c r="E35" s="402"/>
      <c r="H35" s="402" t="e">
        <f>-H34</f>
        <v>#REF!</v>
      </c>
      <c r="I35" s="61"/>
    </row>
    <row r="36" spans="1:9" ht="12.75">
      <c r="A36" s="2"/>
      <c r="B36" s="2"/>
      <c r="C36" s="2" t="s">
        <v>1313</v>
      </c>
      <c r="E36" s="402"/>
      <c r="H36" s="402" t="e">
        <f>H34+H35</f>
        <v>#REF!</v>
      </c>
      <c r="I36" s="61"/>
    </row>
    <row r="37" spans="1:9" ht="12.75">
      <c r="A37" s="2"/>
      <c r="B37" s="2"/>
      <c r="C37" s="2"/>
      <c r="E37" s="402"/>
      <c r="H37" s="402"/>
      <c r="I37" s="61"/>
    </row>
    <row r="38" spans="1:9" ht="12.75">
      <c r="A38" s="2"/>
      <c r="B38" s="2"/>
      <c r="C38" s="2"/>
      <c r="E38" s="402"/>
      <c r="H38" s="402"/>
      <c r="I38" s="61"/>
    </row>
    <row r="39" spans="1:9" ht="12.75">
      <c r="A39" s="2"/>
      <c r="B39" s="2"/>
      <c r="C39" s="2"/>
      <c r="D39" s="202">
        <v>0.5</v>
      </c>
      <c r="E39" s="402"/>
      <c r="G39" s="402"/>
      <c r="H39" s="61"/>
      <c r="I39" s="61"/>
    </row>
    <row r="40" spans="1:10" ht="12.75">
      <c r="A40" s="2"/>
      <c r="B40" s="2"/>
      <c r="C40" s="2" t="s">
        <v>1270</v>
      </c>
      <c r="E40" s="402"/>
      <c r="H40" s="61"/>
      <c r="I40" s="402">
        <v>125000</v>
      </c>
      <c r="J40" s="2" t="s">
        <v>1267</v>
      </c>
    </row>
    <row r="41" spans="1:10" ht="12.75">
      <c r="A41" s="2"/>
      <c r="B41" s="2"/>
      <c r="C41" s="2" t="s">
        <v>1271</v>
      </c>
      <c r="E41" s="402"/>
      <c r="H41" s="61"/>
      <c r="I41" s="402">
        <v>60000</v>
      </c>
      <c r="J41" s="2" t="s">
        <v>1267</v>
      </c>
    </row>
    <row r="42" spans="1:9" ht="12.75">
      <c r="A42" s="2"/>
      <c r="B42" s="2"/>
      <c r="C42" s="2" t="s">
        <v>1274</v>
      </c>
      <c r="E42" s="402"/>
      <c r="H42" s="61"/>
      <c r="I42" s="402" t="e">
        <f>H32</f>
        <v>#REF!</v>
      </c>
    </row>
    <row r="43" spans="1:9" ht="12.75">
      <c r="A43" s="2"/>
      <c r="B43" s="2"/>
      <c r="C43" s="2" t="s">
        <v>1275</v>
      </c>
      <c r="E43" s="402"/>
      <c r="H43" s="61"/>
      <c r="I43" s="519">
        <v>20000</v>
      </c>
    </row>
    <row r="44" spans="1:9" ht="12.75">
      <c r="A44" s="2"/>
      <c r="B44" s="2"/>
      <c r="C44" s="2" t="s">
        <v>1311</v>
      </c>
      <c r="E44" s="402"/>
      <c r="H44" s="61"/>
      <c r="I44" s="402" t="e">
        <f>SUM(I40:I43)</f>
        <v>#REF!</v>
      </c>
    </row>
    <row r="45" spans="3:9" ht="12.75">
      <c r="C45" s="2" t="s">
        <v>1312</v>
      </c>
      <c r="I45" s="402" t="e">
        <f>-I44</f>
        <v>#REF!</v>
      </c>
    </row>
    <row r="46" spans="3:9" ht="12.75">
      <c r="C46" s="2" t="s">
        <v>1313</v>
      </c>
      <c r="I46" s="402" t="e">
        <f>I44+I45</f>
        <v>#REF!</v>
      </c>
    </row>
    <row r="48" spans="7:9" ht="12.75">
      <c r="G48" s="2" t="s">
        <v>1320</v>
      </c>
      <c r="I48" s="61" t="e">
        <f>-(I45+H35+G25+F16+E7)</f>
        <v>#REF!</v>
      </c>
    </row>
    <row r="49" spans="7:9" ht="12.75">
      <c r="G49" s="2" t="s">
        <v>1321</v>
      </c>
      <c r="I49" s="550">
        <f>SUM(D3:D47)</f>
        <v>3.675</v>
      </c>
    </row>
  </sheetData>
  <sheetProtection/>
  <printOptions gridLines="1"/>
  <pageMargins left="0.75" right="0.75" top="1" bottom="1" header="0.5" footer="0.5"/>
  <pageSetup fitToHeight="1" fitToWidth="1" horizontalDpi="300" verticalDpi="3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4.00390625" style="0" customWidth="1"/>
    <col min="2" max="2" width="4.8515625" style="0" customWidth="1"/>
    <col min="3" max="3" width="38.140625" style="0" customWidth="1"/>
    <col min="4" max="4" width="6.28125" style="0" customWidth="1"/>
    <col min="5" max="5" width="6.7109375" style="0" customWidth="1"/>
    <col min="6" max="6" width="10.7109375" style="21" customWidth="1"/>
    <col min="7" max="7" width="10.421875" style="21" customWidth="1"/>
    <col min="8" max="8" width="8.8515625" style="21" customWidth="1"/>
    <col min="10" max="10" width="8.8515625" style="2" customWidth="1"/>
  </cols>
  <sheetData>
    <row r="1" spans="2:3" ht="18">
      <c r="B1" s="186" t="s">
        <v>1238</v>
      </c>
      <c r="C1" s="551"/>
    </row>
    <row r="2" spans="2:5" ht="12.75">
      <c r="B2" s="2"/>
      <c r="C2" s="2" t="s">
        <v>1264</v>
      </c>
      <c r="D2" s="2"/>
      <c r="E2" s="2"/>
    </row>
    <row r="3" ht="12.75">
      <c r="B3" s="2"/>
    </row>
    <row r="4" spans="2:5" ht="12.75">
      <c r="B4" s="2"/>
      <c r="C4" s="520" t="s">
        <v>1324</v>
      </c>
      <c r="D4" s="520"/>
      <c r="E4" s="520"/>
    </row>
    <row r="5" spans="1:9" ht="12.75">
      <c r="A5" s="2"/>
      <c r="B5" s="2"/>
      <c r="C5" s="2"/>
      <c r="D5" s="2" t="s">
        <v>1216</v>
      </c>
      <c r="E5" s="2" t="s">
        <v>1327</v>
      </c>
      <c r="F5" s="202" t="s">
        <v>794</v>
      </c>
      <c r="G5" s="202" t="s">
        <v>1126</v>
      </c>
      <c r="H5" s="202" t="s">
        <v>1325</v>
      </c>
      <c r="I5" s="2"/>
    </row>
    <row r="6" spans="1:9" ht="12.75">
      <c r="A6" s="2"/>
      <c r="B6" s="2"/>
      <c r="C6" s="2" t="s">
        <v>1318</v>
      </c>
      <c r="D6" s="2">
        <v>1.33</v>
      </c>
      <c r="E6" s="2">
        <v>2009</v>
      </c>
      <c r="F6" s="402">
        <f>250000*1.33</f>
        <v>332500</v>
      </c>
      <c r="G6" s="402">
        <f>F6</f>
        <v>332500</v>
      </c>
      <c r="H6" s="402">
        <f>F6-G6</f>
        <v>0</v>
      </c>
      <c r="I6" s="2"/>
    </row>
    <row r="7" spans="1:9" ht="12.75">
      <c r="A7" s="2"/>
      <c r="B7" s="2"/>
      <c r="C7" s="2"/>
      <c r="D7" s="2"/>
      <c r="E7" s="2"/>
      <c r="F7" s="402"/>
      <c r="G7" s="402"/>
      <c r="H7" s="402"/>
      <c r="I7" s="2"/>
    </row>
    <row r="8" spans="1:9" ht="12.75">
      <c r="A8" s="2"/>
      <c r="B8" s="2"/>
      <c r="C8" s="2" t="s">
        <v>1358</v>
      </c>
      <c r="D8" s="2"/>
      <c r="E8" s="2"/>
      <c r="F8" s="402"/>
      <c r="G8" s="402"/>
      <c r="H8" s="402"/>
      <c r="I8" s="2"/>
    </row>
    <row r="9" spans="1:9" ht="12.75">
      <c r="A9" s="2"/>
      <c r="B9" s="2"/>
      <c r="C9" s="2" t="s">
        <v>1215</v>
      </c>
      <c r="D9" s="2"/>
      <c r="E9" s="2"/>
      <c r="F9" s="402"/>
      <c r="G9" s="402"/>
      <c r="H9" s="402"/>
      <c r="I9" s="2"/>
    </row>
    <row r="10" spans="1:9" ht="12.75">
      <c r="A10" s="2"/>
      <c r="B10" s="2"/>
      <c r="C10" s="2"/>
      <c r="D10" s="2"/>
      <c r="E10" s="2"/>
      <c r="F10" s="402"/>
      <c r="G10" s="402"/>
      <c r="H10" s="402"/>
      <c r="I10" s="2"/>
    </row>
    <row r="11" spans="1:9" ht="15.75">
      <c r="A11" s="240" t="s">
        <v>1261</v>
      </c>
      <c r="B11" s="2"/>
      <c r="C11" s="2"/>
      <c r="D11" s="2"/>
      <c r="E11" s="2"/>
      <c r="H11" s="202"/>
      <c r="I11" s="2"/>
    </row>
    <row r="12" spans="1:9" ht="12.75">
      <c r="A12" s="2" t="s">
        <v>1263</v>
      </c>
      <c r="B12" s="2"/>
      <c r="C12" s="2" t="s">
        <v>1319</v>
      </c>
      <c r="D12" s="2">
        <v>2</v>
      </c>
      <c r="E12" s="2">
        <v>2010</v>
      </c>
      <c r="F12" s="402">
        <v>500000</v>
      </c>
      <c r="G12" s="402">
        <f>F12</f>
        <v>500000</v>
      </c>
      <c r="H12" s="402">
        <f>F12-G12</f>
        <v>0</v>
      </c>
      <c r="I12" s="2"/>
    </row>
    <row r="13" spans="1:9" ht="12.75">
      <c r="A13" s="2"/>
      <c r="B13" s="2"/>
      <c r="C13" s="2"/>
      <c r="D13" s="2"/>
      <c r="E13" s="2"/>
      <c r="F13" s="402"/>
      <c r="G13" s="202"/>
      <c r="H13" s="202"/>
      <c r="I13" s="2"/>
    </row>
    <row r="14" spans="1:8" ht="15.75">
      <c r="A14" s="240" t="s">
        <v>1262</v>
      </c>
      <c r="C14" s="2" t="s">
        <v>1323</v>
      </c>
      <c r="D14" s="2">
        <v>1.2</v>
      </c>
      <c r="E14" s="2">
        <v>2010</v>
      </c>
      <c r="F14" s="402">
        <f>250000*D14</f>
        <v>300000</v>
      </c>
      <c r="G14" s="402">
        <f>F14</f>
        <v>300000</v>
      </c>
      <c r="H14" s="402">
        <f>F14-G14</f>
        <v>0</v>
      </c>
    </row>
    <row r="15" spans="1:7" ht="12.75">
      <c r="A15" s="2" t="s">
        <v>1263</v>
      </c>
      <c r="C15" s="2"/>
      <c r="D15" s="2"/>
      <c r="E15" s="2"/>
      <c r="F15" s="402"/>
      <c r="G15" s="402"/>
    </row>
    <row r="16" spans="1:7" ht="12.75">
      <c r="A16" s="2"/>
      <c r="C16" s="2"/>
      <c r="D16" s="2"/>
      <c r="E16" s="2"/>
      <c r="F16" s="402"/>
      <c r="G16" s="402"/>
    </row>
    <row r="17" spans="1:7" ht="13.5" thickBot="1">
      <c r="A17" s="2"/>
      <c r="G17" s="402"/>
    </row>
    <row r="18" spans="4:8" ht="12.75">
      <c r="D18" s="525">
        <f>SUM(D6:D17)</f>
        <v>4.53</v>
      </c>
      <c r="E18" s="525"/>
      <c r="F18" s="552">
        <f>SUM(F6:F17)</f>
        <v>1132500</v>
      </c>
      <c r="G18" s="552">
        <f>SUM(G6:G17)</f>
        <v>1132500</v>
      </c>
      <c r="H18" s="552">
        <f>SUM(H6:H17)</f>
        <v>0</v>
      </c>
    </row>
    <row r="20" ht="15.75">
      <c r="B20" s="240" t="s">
        <v>1237</v>
      </c>
    </row>
    <row r="21" spans="3:5" ht="12.75">
      <c r="C21" s="2" t="s">
        <v>1265</v>
      </c>
      <c r="D21" s="2"/>
      <c r="E21" s="2"/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39">
      <selection activeCell="F44" sqref="F44"/>
    </sheetView>
  </sheetViews>
  <sheetFormatPr defaultColWidth="9.140625" defaultRowHeight="12.75"/>
  <cols>
    <col min="1" max="1" width="22.7109375" style="0" customWidth="1"/>
    <col min="2" max="2" width="18.140625" style="0" customWidth="1"/>
    <col min="3" max="3" width="28.140625" style="2" customWidth="1"/>
    <col min="4" max="4" width="8.8515625" style="612" customWidth="1"/>
    <col min="5" max="11" width="8.8515625" style="2" customWidth="1"/>
  </cols>
  <sheetData>
    <row r="1" spans="1:5" ht="18">
      <c r="A1" s="591" t="s">
        <v>1366</v>
      </c>
      <c r="B1" s="64"/>
      <c r="C1" s="525"/>
      <c r="D1" s="608"/>
      <c r="E1" s="69"/>
    </row>
    <row r="2" spans="1:5" ht="12.75">
      <c r="A2" s="46"/>
      <c r="D2" s="609"/>
      <c r="E2" s="299"/>
    </row>
    <row r="3" spans="1:5" ht="12.75">
      <c r="A3" s="215" t="s">
        <v>1384</v>
      </c>
      <c r="B3" s="15"/>
      <c r="C3" s="215"/>
      <c r="D3" s="609"/>
      <c r="E3" s="299"/>
    </row>
    <row r="4" spans="1:5" ht="12.75">
      <c r="A4" s="215" t="s">
        <v>1383</v>
      </c>
      <c r="B4" s="15"/>
      <c r="C4" s="215"/>
      <c r="D4" s="609"/>
      <c r="E4" s="299"/>
    </row>
    <row r="5" spans="2:5" ht="12.75">
      <c r="B5" s="15" t="s">
        <v>1372</v>
      </c>
      <c r="C5" s="215">
        <v>1</v>
      </c>
      <c r="D5" s="609"/>
      <c r="E5" s="299"/>
    </row>
    <row r="6" spans="2:5" ht="12.75">
      <c r="B6" s="15" t="s">
        <v>1373</v>
      </c>
      <c r="C6" s="215">
        <v>0.25</v>
      </c>
      <c r="D6" s="609"/>
      <c r="E6" s="299"/>
    </row>
    <row r="7" spans="2:5" ht="12.75">
      <c r="B7" s="15" t="s">
        <v>1374</v>
      </c>
      <c r="C7" s="547">
        <v>0.25</v>
      </c>
      <c r="D7" s="609"/>
      <c r="E7" s="299"/>
    </row>
    <row r="8" spans="1:5" ht="12.75">
      <c r="A8" s="46"/>
      <c r="B8" s="15"/>
      <c r="D8" s="215">
        <f>SUM(C5:C7)</f>
        <v>1.5</v>
      </c>
      <c r="E8" s="299" t="s">
        <v>1216</v>
      </c>
    </row>
    <row r="9" spans="1:5" ht="12.75">
      <c r="A9" s="46" t="s">
        <v>1377</v>
      </c>
      <c r="B9" s="592">
        <v>41.08</v>
      </c>
      <c r="C9" s="215">
        <v>0.1</v>
      </c>
      <c r="D9" s="610">
        <f>C9*B9</f>
        <v>4.108</v>
      </c>
      <c r="E9" s="299"/>
    </row>
    <row r="10" spans="1:5" ht="12.75">
      <c r="A10" s="46"/>
      <c r="B10" s="15"/>
      <c r="C10" s="215"/>
      <c r="D10" s="609">
        <f>D8+D9</f>
        <v>5.608</v>
      </c>
      <c r="E10" s="299" t="s">
        <v>1216</v>
      </c>
    </row>
    <row r="11" spans="1:5" ht="12.75">
      <c r="A11" s="46"/>
      <c r="B11" s="15"/>
      <c r="D11" s="538">
        <v>20000</v>
      </c>
      <c r="E11" s="215" t="s">
        <v>1371</v>
      </c>
    </row>
    <row r="12" spans="1:5" ht="12.75">
      <c r="A12" s="46"/>
      <c r="B12" s="15"/>
      <c r="D12" s="531">
        <f>D11*D10</f>
        <v>112160</v>
      </c>
      <c r="E12" s="609"/>
    </row>
    <row r="13" spans="1:5" ht="12.75">
      <c r="A13" s="46"/>
      <c r="B13" s="15"/>
      <c r="C13" s="215"/>
      <c r="D13" s="609"/>
      <c r="E13" s="299"/>
    </row>
    <row r="14" spans="1:5" ht="12.75">
      <c r="A14" s="46" t="s">
        <v>1387</v>
      </c>
      <c r="B14" s="15"/>
      <c r="C14" s="215"/>
      <c r="D14" s="609">
        <v>20000</v>
      </c>
      <c r="E14" s="299"/>
    </row>
    <row r="15" spans="1:5" ht="12.75">
      <c r="A15" s="46"/>
      <c r="B15" s="15"/>
      <c r="C15" s="215"/>
      <c r="D15" s="609"/>
      <c r="E15" s="299"/>
    </row>
    <row r="16" spans="1:5" ht="12.75">
      <c r="A16" s="46"/>
      <c r="B16" s="15"/>
      <c r="C16" s="215"/>
      <c r="D16" s="609"/>
      <c r="E16" s="299"/>
    </row>
    <row r="17" spans="1:5" ht="12.75">
      <c r="A17" s="46" t="s">
        <v>1378</v>
      </c>
      <c r="B17" s="15" t="s">
        <v>1389</v>
      </c>
      <c r="C17" s="215"/>
      <c r="D17" s="609"/>
      <c r="E17" s="299"/>
    </row>
    <row r="18" spans="1:5" ht="12.75">
      <c r="A18" s="46"/>
      <c r="B18" s="15" t="s">
        <v>1390</v>
      </c>
      <c r="C18" s="215"/>
      <c r="D18" s="609"/>
      <c r="E18" s="299"/>
    </row>
    <row r="19" spans="1:5" ht="12.75">
      <c r="A19" s="46"/>
      <c r="B19" s="605" t="s">
        <v>1391</v>
      </c>
      <c r="C19" s="215"/>
      <c r="D19" s="609"/>
      <c r="E19" s="299"/>
    </row>
    <row r="20" spans="1:5" ht="12.75">
      <c r="A20" s="46"/>
      <c r="B20" s="605" t="s">
        <v>1392</v>
      </c>
      <c r="C20" s="215"/>
      <c r="D20" s="609"/>
      <c r="E20" s="299"/>
    </row>
    <row r="21" spans="1:5" ht="12.75">
      <c r="A21" s="46"/>
      <c r="B21" s="605" t="s">
        <v>1393</v>
      </c>
      <c r="C21" s="215"/>
      <c r="D21" s="609"/>
      <c r="E21" s="299"/>
    </row>
    <row r="22" spans="1:5" ht="12.75">
      <c r="A22" s="46"/>
      <c r="B22" s="605"/>
      <c r="C22" s="215"/>
      <c r="D22" s="609">
        <v>16500</v>
      </c>
      <c r="E22" s="299"/>
    </row>
    <row r="23" spans="1:5" ht="12.75">
      <c r="A23" s="46" t="s">
        <v>1382</v>
      </c>
      <c r="B23" s="15" t="s">
        <v>1380</v>
      </c>
      <c r="C23" s="215"/>
      <c r="D23" s="609"/>
      <c r="E23" s="299"/>
    </row>
    <row r="24" spans="1:5" ht="12.75">
      <c r="A24" s="46" t="s">
        <v>1385</v>
      </c>
      <c r="B24" s="15" t="s">
        <v>1381</v>
      </c>
      <c r="C24" s="215"/>
      <c r="D24" s="609"/>
      <c r="E24" s="299"/>
    </row>
    <row r="25" spans="1:5" ht="12.75">
      <c r="A25" s="46"/>
      <c r="B25" s="15" t="s">
        <v>1379</v>
      </c>
      <c r="C25" s="215"/>
      <c r="D25" s="609"/>
      <c r="E25" s="299"/>
    </row>
    <row r="26" spans="1:5" ht="12.75">
      <c r="A26" s="46"/>
      <c r="B26" s="15"/>
      <c r="C26" s="215"/>
      <c r="D26" s="609">
        <v>10000</v>
      </c>
      <c r="E26" s="299"/>
    </row>
    <row r="31" spans="1:5" ht="12.75">
      <c r="A31" s="46"/>
      <c r="B31" s="15"/>
      <c r="C31" s="215"/>
      <c r="D31" s="609"/>
      <c r="E31" s="299"/>
    </row>
    <row r="36" spans="1:5" ht="13.5" thickBot="1">
      <c r="A36" s="48"/>
      <c r="B36" s="38"/>
      <c r="C36" s="225"/>
      <c r="D36" s="611"/>
      <c r="E36" s="528"/>
    </row>
    <row r="37" ht="13.5" thickBot="1"/>
    <row r="38" spans="1:6" ht="18">
      <c r="A38" s="591" t="s">
        <v>1214</v>
      </c>
      <c r="B38" s="64"/>
      <c r="C38" s="525"/>
      <c r="D38" s="608"/>
      <c r="E38" s="69"/>
      <c r="F38" s="2" t="s">
        <v>1369</v>
      </c>
    </row>
    <row r="39" spans="1:8" ht="26.25">
      <c r="A39" s="543"/>
      <c r="B39" s="15"/>
      <c r="C39" s="215"/>
      <c r="D39" s="609" t="s">
        <v>1216</v>
      </c>
      <c r="E39" s="613" t="s">
        <v>1326</v>
      </c>
      <c r="F39" s="2" t="s">
        <v>1367</v>
      </c>
      <c r="H39" s="2" t="s">
        <v>1368</v>
      </c>
    </row>
    <row r="40" spans="1:11" s="598" customFormat="1" ht="12.75">
      <c r="A40" s="595" t="s">
        <v>1254</v>
      </c>
      <c r="B40" s="596" t="s">
        <v>1215</v>
      </c>
      <c r="C40" s="596" t="s">
        <v>1240</v>
      </c>
      <c r="D40" s="597">
        <v>1.25</v>
      </c>
      <c r="E40" s="614"/>
      <c r="F40" s="615">
        <v>6030</v>
      </c>
      <c r="G40" s="615"/>
      <c r="H40" s="615"/>
      <c r="I40" s="615"/>
      <c r="J40" s="615"/>
      <c r="K40" s="615"/>
    </row>
    <row r="41" spans="1:11" s="602" customFormat="1" ht="12.75">
      <c r="A41" s="603" t="s">
        <v>1280</v>
      </c>
      <c r="B41" s="600" t="s">
        <v>1244</v>
      </c>
      <c r="C41" s="600" t="s">
        <v>1245</v>
      </c>
      <c r="D41" s="616">
        <v>1</v>
      </c>
      <c r="E41" s="601">
        <f>D40+D41</f>
        <v>2.25</v>
      </c>
      <c r="F41" s="618"/>
      <c r="G41" s="618"/>
      <c r="H41" s="618"/>
      <c r="I41" s="618"/>
      <c r="J41" s="618"/>
      <c r="K41" s="618"/>
    </row>
    <row r="42" spans="1:5" ht="12.75">
      <c r="A42" s="70"/>
      <c r="B42" s="215"/>
      <c r="C42" s="215"/>
      <c r="D42" s="609"/>
      <c r="E42" s="299"/>
    </row>
    <row r="43" spans="1:11" s="602" customFormat="1" ht="12.75">
      <c r="A43" s="603" t="s">
        <v>1255</v>
      </c>
      <c r="B43" s="600" t="s">
        <v>1217</v>
      </c>
      <c r="C43" s="600" t="s">
        <v>1241</v>
      </c>
      <c r="D43" s="616">
        <v>0.5</v>
      </c>
      <c r="E43" s="617"/>
      <c r="F43" s="618"/>
      <c r="G43" s="618"/>
      <c r="H43" s="618"/>
      <c r="I43" s="618"/>
      <c r="J43" s="618"/>
      <c r="K43" s="618"/>
    </row>
    <row r="44" spans="1:5" ht="12.75">
      <c r="A44" s="70" t="s">
        <v>1279</v>
      </c>
      <c r="B44" s="215" t="s">
        <v>1242</v>
      </c>
      <c r="C44" s="215" t="s">
        <v>1243</v>
      </c>
      <c r="D44" s="609">
        <v>0.75</v>
      </c>
      <c r="E44" s="593">
        <f>D43+D44</f>
        <v>1.25</v>
      </c>
    </row>
    <row r="45" spans="1:5" ht="12.75">
      <c r="A45" s="70"/>
      <c r="B45" s="215"/>
      <c r="C45" s="215"/>
      <c r="D45" s="609"/>
      <c r="E45" s="299"/>
    </row>
    <row r="46" spans="1:11" s="602" customFormat="1" ht="12.75">
      <c r="A46" s="603" t="s">
        <v>1256</v>
      </c>
      <c r="B46" s="600" t="s">
        <v>1360</v>
      </c>
      <c r="C46" s="600" t="s">
        <v>1246</v>
      </c>
      <c r="D46" s="616">
        <v>1</v>
      </c>
      <c r="E46" s="617"/>
      <c r="F46" s="618">
        <v>5280</v>
      </c>
      <c r="G46" s="618"/>
      <c r="H46" s="618"/>
      <c r="I46" s="618"/>
      <c r="J46" s="618"/>
      <c r="K46" s="618"/>
    </row>
    <row r="47" spans="1:5" ht="12.75">
      <c r="A47" s="70" t="s">
        <v>1278</v>
      </c>
      <c r="B47" s="215" t="s">
        <v>1257</v>
      </c>
      <c r="C47" s="215" t="s">
        <v>1258</v>
      </c>
      <c r="D47" s="609">
        <v>2</v>
      </c>
      <c r="E47" s="593">
        <f>D46+D47</f>
        <v>3</v>
      </c>
    </row>
    <row r="48" spans="1:5" ht="12.75">
      <c r="A48" s="70"/>
      <c r="B48" s="215"/>
      <c r="C48" s="215"/>
      <c r="D48" s="609"/>
      <c r="E48" s="299"/>
    </row>
    <row r="49" spans="1:11" s="602" customFormat="1" ht="12.75">
      <c r="A49" s="603" t="s">
        <v>1259</v>
      </c>
      <c r="B49" s="600" t="s">
        <v>1218</v>
      </c>
      <c r="C49" s="600" t="s">
        <v>1247</v>
      </c>
      <c r="D49" s="616">
        <v>0.25</v>
      </c>
      <c r="E49" s="617"/>
      <c r="F49" s="618"/>
      <c r="G49" s="618"/>
      <c r="H49" s="618"/>
      <c r="I49" s="618"/>
      <c r="J49" s="618"/>
      <c r="K49" s="618"/>
    </row>
    <row r="50" spans="1:11" s="602" customFormat="1" ht="12.75">
      <c r="A50" s="603" t="s">
        <v>1281</v>
      </c>
      <c r="B50" s="600" t="s">
        <v>1248</v>
      </c>
      <c r="C50" s="600" t="s">
        <v>1249</v>
      </c>
      <c r="D50" s="616">
        <v>0.125</v>
      </c>
      <c r="E50" s="617"/>
      <c r="F50" s="618"/>
      <c r="G50" s="618"/>
      <c r="H50" s="618"/>
      <c r="I50" s="618"/>
      <c r="J50" s="618"/>
      <c r="K50" s="618"/>
    </row>
    <row r="51" spans="1:11" s="602" customFormat="1" ht="12.75">
      <c r="A51" s="599"/>
      <c r="B51" s="600" t="s">
        <v>1250</v>
      </c>
      <c r="C51" s="600" t="s">
        <v>1251</v>
      </c>
      <c r="D51" s="616">
        <v>0.25</v>
      </c>
      <c r="E51" s="617"/>
      <c r="F51" s="618"/>
      <c r="G51" s="618"/>
      <c r="H51" s="618"/>
      <c r="I51" s="618"/>
      <c r="J51" s="618"/>
      <c r="K51" s="618"/>
    </row>
    <row r="52" spans="1:11" s="602" customFormat="1" ht="12.75">
      <c r="A52" s="599"/>
      <c r="B52" s="600" t="s">
        <v>1252</v>
      </c>
      <c r="C52" s="600" t="s">
        <v>1253</v>
      </c>
      <c r="D52" s="616">
        <v>1</v>
      </c>
      <c r="E52" s="601">
        <f>SUM(D49:D52)</f>
        <v>1.625</v>
      </c>
      <c r="F52" s="618">
        <v>6480</v>
      </c>
      <c r="G52" s="618"/>
      <c r="H52" s="618"/>
      <c r="I52" s="618"/>
      <c r="J52" s="618"/>
      <c r="K52" s="618"/>
    </row>
    <row r="53" spans="1:5" ht="12.75">
      <c r="A53" s="46"/>
      <c r="B53" s="215"/>
      <c r="C53" s="215"/>
      <c r="D53" s="609"/>
      <c r="E53" s="593"/>
    </row>
    <row r="54" spans="1:5" ht="12.75">
      <c r="A54" s="46"/>
      <c r="B54" s="215" t="s">
        <v>1363</v>
      </c>
      <c r="C54" s="215" t="s">
        <v>1364</v>
      </c>
      <c r="D54" s="609">
        <v>0.5</v>
      </c>
      <c r="E54" s="593">
        <f>D54</f>
        <v>0.5</v>
      </c>
    </row>
    <row r="55" spans="1:11" s="602" customFormat="1" ht="12.75">
      <c r="A55" s="599"/>
      <c r="B55" s="600" t="s">
        <v>1362</v>
      </c>
      <c r="C55" s="600" t="s">
        <v>1361</v>
      </c>
      <c r="D55" s="616">
        <v>0.5</v>
      </c>
      <c r="E55" s="601">
        <f>D55</f>
        <v>0.5</v>
      </c>
      <c r="F55" s="618">
        <v>2294</v>
      </c>
      <c r="G55" s="618"/>
      <c r="H55" s="618"/>
      <c r="I55" s="618"/>
      <c r="J55" s="618"/>
      <c r="K55" s="618"/>
    </row>
    <row r="56" spans="1:5" ht="12.75">
      <c r="A56" s="46"/>
      <c r="B56" s="215" t="s">
        <v>1310</v>
      </c>
      <c r="C56" s="215" t="s">
        <v>1317</v>
      </c>
      <c r="D56" s="609">
        <v>1</v>
      </c>
      <c r="E56" s="593">
        <f>D56</f>
        <v>1</v>
      </c>
    </row>
    <row r="57" spans="1:5" ht="12.75">
      <c r="A57" s="46"/>
      <c r="B57" s="215" t="s">
        <v>1375</v>
      </c>
      <c r="C57" s="215"/>
      <c r="D57" s="609">
        <v>0.5</v>
      </c>
      <c r="E57" s="593">
        <f>D57</f>
        <v>0.5</v>
      </c>
    </row>
    <row r="58" spans="1:5" ht="13.5" thickBot="1">
      <c r="A58" s="70"/>
      <c r="B58" s="215" t="s">
        <v>1276</v>
      </c>
      <c r="C58" s="215" t="s">
        <v>1277</v>
      </c>
      <c r="D58" s="609">
        <v>0.5</v>
      </c>
      <c r="E58" s="593">
        <f>D58</f>
        <v>0.5</v>
      </c>
    </row>
    <row r="59" spans="1:9" ht="13.5" thickBot="1">
      <c r="A59" s="46"/>
      <c r="B59" s="15"/>
      <c r="C59" s="215"/>
      <c r="D59" s="609"/>
      <c r="E59" s="299"/>
      <c r="F59" s="530">
        <f>SUM(F40:F58)</f>
        <v>20084</v>
      </c>
      <c r="G59" s="2" t="s">
        <v>1051</v>
      </c>
      <c r="H59" s="627">
        <f>F59/5280</f>
        <v>3.8037878787878787</v>
      </c>
      <c r="I59" s="2" t="s">
        <v>1216</v>
      </c>
    </row>
    <row r="60" spans="1:9" ht="13.5" thickBot="1">
      <c r="A60" s="46"/>
      <c r="B60" s="15"/>
      <c r="C60" s="215"/>
      <c r="D60" s="609" t="s">
        <v>795</v>
      </c>
      <c r="E60" s="594">
        <f>SUM(E41:E59)</f>
        <v>11.125</v>
      </c>
      <c r="F60" s="520">
        <v>1.87</v>
      </c>
      <c r="G60" s="2" t="s">
        <v>1388</v>
      </c>
      <c r="I60" s="2" t="s">
        <v>1370</v>
      </c>
    </row>
    <row r="61" spans="1:11" ht="13.5" thickBot="1">
      <c r="A61" s="46"/>
      <c r="B61" s="15"/>
      <c r="C61" s="215"/>
      <c r="D61" s="609"/>
      <c r="E61" s="299"/>
      <c r="F61" s="630">
        <f>F59*F60</f>
        <v>37557.08</v>
      </c>
      <c r="G61" s="631" t="s">
        <v>1413</v>
      </c>
      <c r="H61" s="631" t="s">
        <v>1414</v>
      </c>
      <c r="I61" s="629"/>
      <c r="K61" s="2">
        <v>37557</v>
      </c>
    </row>
    <row r="62" spans="1:6" ht="12.75">
      <c r="A62" s="46"/>
      <c r="B62" s="15"/>
      <c r="C62" s="215"/>
      <c r="D62" s="609"/>
      <c r="E62" s="215"/>
      <c r="F62" s="58"/>
    </row>
    <row r="63" spans="1:6" ht="13.5" thickBot="1">
      <c r="A63" s="46"/>
      <c r="B63" s="15"/>
      <c r="C63" s="215"/>
      <c r="D63" s="609"/>
      <c r="E63" s="215"/>
      <c r="F63" s="58"/>
    </row>
    <row r="64" spans="1:4" ht="13.5" thickBot="1">
      <c r="A64" s="619" t="s">
        <v>1395</v>
      </c>
      <c r="B64" s="628">
        <f>SUM(D12:D26)</f>
        <v>158660</v>
      </c>
      <c r="C64" s="629" t="s">
        <v>1412</v>
      </c>
      <c r="D64" s="2"/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14.00390625" style="0" customWidth="1"/>
    <col min="2" max="2" width="5.28125" style="0" customWidth="1"/>
    <col min="3" max="3" width="13.421875" style="0" customWidth="1"/>
    <col min="4" max="4" width="11.7109375" style="0" customWidth="1"/>
    <col min="5" max="5" width="10.7109375" style="0" customWidth="1"/>
    <col min="6" max="6" width="11.140625" style="0" bestFit="1" customWidth="1"/>
    <col min="8" max="8" width="10.140625" style="0" bestFit="1" customWidth="1"/>
  </cols>
  <sheetData>
    <row r="1" ht="18">
      <c r="C1" s="104" t="s">
        <v>917</v>
      </c>
    </row>
    <row r="3" spans="1:2" ht="15.75">
      <c r="A3" s="105" t="s">
        <v>918</v>
      </c>
      <c r="B3" s="105"/>
    </row>
    <row r="4" spans="1:2" ht="15.75">
      <c r="A4" s="105"/>
      <c r="B4" s="105"/>
    </row>
    <row r="5" spans="1:2" ht="15.75">
      <c r="A5" s="105"/>
      <c r="B5" s="105" t="s">
        <v>1427</v>
      </c>
    </row>
    <row r="6" spans="1:3" ht="15.75">
      <c r="A6" s="19" t="s">
        <v>1456</v>
      </c>
      <c r="B6" s="105"/>
      <c r="C6" s="58">
        <v>250000</v>
      </c>
    </row>
    <row r="7" spans="1:6" s="2" customFormat="1" ht="12.75">
      <c r="A7" s="2" t="s">
        <v>919</v>
      </c>
      <c r="C7" s="58">
        <v>1400000</v>
      </c>
      <c r="E7" s="2" t="s">
        <v>1455</v>
      </c>
      <c r="F7" s="58"/>
    </row>
    <row r="8" spans="1:6" s="2" customFormat="1" ht="12.75">
      <c r="A8" s="2" t="s">
        <v>920</v>
      </c>
      <c r="C8" s="221">
        <v>2800000</v>
      </c>
      <c r="F8" s="58"/>
    </row>
    <row r="9" spans="1:6" s="2" customFormat="1" ht="12.75">
      <c r="A9" s="2" t="s">
        <v>921</v>
      </c>
      <c r="C9" s="58">
        <f>SUM(C6:C8)</f>
        <v>4450000</v>
      </c>
      <c r="D9" s="58"/>
      <c r="F9" s="58"/>
    </row>
    <row r="10" spans="1:6" s="2" customFormat="1" ht="12.75">
      <c r="A10" s="2" t="s">
        <v>922</v>
      </c>
      <c r="B10" s="222">
        <v>0.1</v>
      </c>
      <c r="C10" s="58">
        <f>B10*C9</f>
        <v>445000</v>
      </c>
      <c r="D10" s="58"/>
      <c r="F10" s="58"/>
    </row>
    <row r="11" spans="3:4" s="2" customFormat="1" ht="12.75">
      <c r="C11" s="58">
        <f>C9+C10</f>
        <v>4895000</v>
      </c>
      <c r="D11" s="58">
        <f>C11</f>
        <v>4895000</v>
      </c>
    </row>
    <row r="12" s="2" customFormat="1" ht="12.75">
      <c r="C12" s="58"/>
    </row>
    <row r="13" spans="1:3" s="2" customFormat="1" ht="15.75">
      <c r="A13" s="105" t="s">
        <v>923</v>
      </c>
      <c r="B13" s="105"/>
      <c r="C13" s="58"/>
    </row>
    <row r="14" spans="1:3" s="2" customFormat="1" ht="12.75">
      <c r="A14" s="2" t="s">
        <v>924</v>
      </c>
      <c r="C14" s="58">
        <f>F45</f>
        <v>955600</v>
      </c>
    </row>
    <row r="15" spans="1:3" s="2" customFormat="1" ht="12.75">
      <c r="A15" s="2" t="s">
        <v>925</v>
      </c>
      <c r="C15" s="221">
        <v>200000</v>
      </c>
    </row>
    <row r="16" spans="3:4" s="2" customFormat="1" ht="12.75">
      <c r="C16" s="58">
        <f>C14+C15</f>
        <v>1155600</v>
      </c>
      <c r="D16" s="221">
        <f>-C16</f>
        <v>-1155600</v>
      </c>
    </row>
    <row r="17" s="2" customFormat="1" ht="12.75">
      <c r="D17" s="58">
        <f>D16+D11</f>
        <v>3739400</v>
      </c>
    </row>
    <row r="18" spans="1:4" s="2" customFormat="1" ht="12.75">
      <c r="A18" s="2" t="s">
        <v>926</v>
      </c>
      <c r="D18" s="221">
        <f>D19-D17</f>
        <v>-1439400</v>
      </c>
    </row>
    <row r="19" s="2" customFormat="1" ht="12.75">
      <c r="D19" s="58">
        <f>D22</f>
        <v>2300000</v>
      </c>
    </row>
    <row r="20" ht="13.5" thickBot="1">
      <c r="D20" s="107"/>
    </row>
    <row r="21" spans="1:4" ht="15.75">
      <c r="A21" s="62" t="s">
        <v>927</v>
      </c>
      <c r="B21" s="108"/>
      <c r="C21" s="64"/>
      <c r="D21" s="109"/>
    </row>
    <row r="22" spans="1:7" s="2" customFormat="1" ht="12.75">
      <c r="A22" s="70" t="s">
        <v>928</v>
      </c>
      <c r="B22" s="215"/>
      <c r="C22" s="215"/>
      <c r="D22" s="655">
        <v>2300000</v>
      </c>
      <c r="F22" s="652">
        <v>2000000</v>
      </c>
      <c r="G22" s="653" t="s">
        <v>929</v>
      </c>
    </row>
    <row r="23" spans="1:7" s="2" customFormat="1" ht="13.5" thickBot="1">
      <c r="A23" s="224" t="s">
        <v>930</v>
      </c>
      <c r="B23" s="225"/>
      <c r="C23" s="225"/>
      <c r="D23" s="226">
        <f>D19*F23/F22</f>
        <v>154596.133</v>
      </c>
      <c r="F23" s="654">
        <v>134431.42</v>
      </c>
      <c r="G23" s="653" t="s">
        <v>930</v>
      </c>
    </row>
    <row r="24" spans="1:6" s="2" customFormat="1" ht="13.5" thickBot="1">
      <c r="A24" s="215"/>
      <c r="B24" s="215"/>
      <c r="C24" s="215"/>
      <c r="D24" s="535"/>
      <c r="F24" s="227"/>
    </row>
    <row r="25" spans="1:7" s="2" customFormat="1" ht="12.75">
      <c r="A25" s="530" t="s">
        <v>1129</v>
      </c>
      <c r="B25" s="64"/>
      <c r="C25" s="650">
        <f>'leg fund-sewer'!D19</f>
        <v>2193327</v>
      </c>
      <c r="D25" s="64" t="s">
        <v>1420</v>
      </c>
      <c r="E25" s="525"/>
      <c r="F25" s="651"/>
      <c r="G25" s="69"/>
    </row>
    <row r="26" spans="1:7" s="2" customFormat="1" ht="12.75">
      <c r="A26" s="70"/>
      <c r="B26" s="15"/>
      <c r="C26" s="535">
        <v>127392</v>
      </c>
      <c r="D26" s="15" t="s">
        <v>1421</v>
      </c>
      <c r="E26" s="215"/>
      <c r="F26" s="429"/>
      <c r="G26" s="299"/>
    </row>
    <row r="27" spans="1:7" s="2" customFormat="1" ht="12.75">
      <c r="A27" s="70"/>
      <c r="B27" s="15"/>
      <c r="C27" s="535">
        <v>77499</v>
      </c>
      <c r="D27" s="15" t="s">
        <v>1422</v>
      </c>
      <c r="E27" s="215"/>
      <c r="F27" s="429"/>
      <c r="G27" s="299"/>
    </row>
    <row r="28" spans="1:7" s="2" customFormat="1" ht="12.75">
      <c r="A28" s="70" t="s">
        <v>1428</v>
      </c>
      <c r="B28" s="215"/>
      <c r="C28" s="539">
        <f>D11</f>
        <v>4895000</v>
      </c>
      <c r="D28" s="535"/>
      <c r="E28" s="215"/>
      <c r="F28" s="429"/>
      <c r="G28" s="299"/>
    </row>
    <row r="29" spans="1:7" s="2" customFormat="1" ht="13.5" thickBot="1">
      <c r="A29" s="224" t="s">
        <v>1130</v>
      </c>
      <c r="B29" s="225"/>
      <c r="C29" s="542">
        <f>SUM(C25:C28)</f>
        <v>7293218</v>
      </c>
      <c r="D29" s="542"/>
      <c r="E29" s="225"/>
      <c r="F29" s="438"/>
      <c r="G29" s="528"/>
    </row>
    <row r="30" spans="1:6" s="2" customFormat="1" ht="12.75">
      <c r="A30" s="215"/>
      <c r="B30" s="215"/>
      <c r="C30" s="215"/>
      <c r="D30" s="535"/>
      <c r="F30" s="227"/>
    </row>
    <row r="31" ht="13.5" thickBot="1">
      <c r="D31" s="106"/>
    </row>
    <row r="32" spans="1:4" ht="12.75">
      <c r="A32" s="649" t="s">
        <v>1423</v>
      </c>
      <c r="B32" s="525"/>
      <c r="C32" s="525"/>
      <c r="D32" s="69"/>
    </row>
    <row r="33" spans="1:4" ht="12.75">
      <c r="A33" s="215" t="s">
        <v>1424</v>
      </c>
      <c r="C33" s="535">
        <f>C14</f>
        <v>955600</v>
      </c>
      <c r="D33" s="647">
        <f>C33/C$36</f>
        <v>0.13102583797714534</v>
      </c>
    </row>
    <row r="34" spans="1:4" ht="12.75">
      <c r="A34" s="215" t="s">
        <v>1425</v>
      </c>
      <c r="C34" s="535">
        <f>C15+C25</f>
        <v>2393327</v>
      </c>
      <c r="D34" s="647">
        <f>C34/C$36</f>
        <v>0.32815788586053507</v>
      </c>
    </row>
    <row r="35" spans="1:4" ht="12.75">
      <c r="A35" s="215" t="s">
        <v>1426</v>
      </c>
      <c r="C35" s="539">
        <f>C26+C27+D17</f>
        <v>3944291</v>
      </c>
      <c r="D35" s="647">
        <f>C35/C$36</f>
        <v>0.5408162761623195</v>
      </c>
    </row>
    <row r="36" spans="1:4" ht="13.5" thickBot="1">
      <c r="A36" s="224"/>
      <c r="B36" s="225"/>
      <c r="C36" s="542">
        <f>SUM(C33:C35)</f>
        <v>7293218</v>
      </c>
      <c r="D36" s="648">
        <f>C36/C$36</f>
        <v>1</v>
      </c>
    </row>
    <row r="37" spans="1:4" ht="12.75">
      <c r="A37" s="215"/>
      <c r="B37" s="215"/>
      <c r="C37" s="535"/>
      <c r="D37" s="656"/>
    </row>
    <row r="38" spans="1:4" ht="12.75">
      <c r="A38" s="2" t="s">
        <v>1429</v>
      </c>
      <c r="B38" s="2"/>
      <c r="C38" s="2"/>
      <c r="D38" s="656"/>
    </row>
    <row r="39" spans="1:4" ht="12.75">
      <c r="A39" s="2" t="s">
        <v>1431</v>
      </c>
      <c r="B39" s="2"/>
      <c r="C39" s="2">
        <v>2130</v>
      </c>
      <c r="D39" s="656"/>
    </row>
    <row r="40" spans="1:4" ht="12.75">
      <c r="A40" s="2" t="s">
        <v>1432</v>
      </c>
      <c r="B40" s="2"/>
      <c r="C40" s="520">
        <v>2</v>
      </c>
      <c r="D40" s="656"/>
    </row>
    <row r="41" spans="1:4" ht="12.75">
      <c r="A41" s="2" t="s">
        <v>1430</v>
      </c>
      <c r="B41" s="2"/>
      <c r="C41" s="2">
        <f>C39*C40</f>
        <v>4260</v>
      </c>
      <c r="D41" s="656"/>
    </row>
    <row r="42" ht="12.75">
      <c r="D42" s="106"/>
    </row>
    <row r="43" spans="1:8" ht="12.75">
      <c r="A43" s="110" t="s">
        <v>931</v>
      </c>
      <c r="B43" s="110"/>
      <c r="C43" s="33"/>
      <c r="D43" s="33"/>
      <c r="E43" s="111">
        <v>2005</v>
      </c>
      <c r="F43" s="112">
        <v>1000000</v>
      </c>
      <c r="G43" s="33"/>
      <c r="H43" s="113"/>
    </row>
    <row r="44" spans="1:7" ht="12.75">
      <c r="A44" s="33"/>
      <c r="B44" s="33"/>
      <c r="C44" s="114" t="s">
        <v>932</v>
      </c>
      <c r="D44" s="33"/>
      <c r="E44" s="33"/>
      <c r="F44" s="115">
        <v>-44400</v>
      </c>
      <c r="G44" s="116"/>
    </row>
    <row r="45" spans="1:8" ht="12.75">
      <c r="A45" s="33"/>
      <c r="B45" s="33"/>
      <c r="C45" s="33"/>
      <c r="D45" s="33"/>
      <c r="E45" s="33"/>
      <c r="F45" s="117">
        <f>F43+F44</f>
        <v>955600</v>
      </c>
      <c r="G45" s="33"/>
      <c r="H45" s="33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2" width="8.8515625" style="2" customWidth="1"/>
    <col min="3" max="3" width="10.140625" style="2" customWidth="1"/>
    <col min="4" max="5" width="12.00390625" style="2" customWidth="1"/>
    <col min="6" max="6" width="7.00390625" style="2" customWidth="1"/>
    <col min="7" max="7" width="11.28125" style="61" customWidth="1"/>
  </cols>
  <sheetData>
    <row r="1" ht="18">
      <c r="B1" s="657" t="s">
        <v>1429</v>
      </c>
    </row>
    <row r="2" ht="12.75">
      <c r="B2" s="19"/>
    </row>
    <row r="3" spans="1:7" ht="25.5">
      <c r="A3" s="245"/>
      <c r="B3" s="245"/>
      <c r="C3" s="245" t="s">
        <v>1433</v>
      </c>
      <c r="D3" s="245" t="s">
        <v>1434</v>
      </c>
      <c r="E3" s="245" t="s">
        <v>1435</v>
      </c>
      <c r="F3" s="245" t="s">
        <v>1436</v>
      </c>
      <c r="G3" s="663" t="s">
        <v>1437</v>
      </c>
    </row>
    <row r="4" spans="1:7" s="662" customFormat="1" ht="12.75">
      <c r="A4" s="660" t="s">
        <v>1438</v>
      </c>
      <c r="B4" s="660">
        <v>2000</v>
      </c>
      <c r="C4" s="661">
        <v>1893</v>
      </c>
      <c r="D4" s="661">
        <v>7514</v>
      </c>
      <c r="E4" s="660"/>
      <c r="F4" s="660"/>
      <c r="G4" s="661"/>
    </row>
    <row r="5" spans="2:4" ht="12.75">
      <c r="B5" s="2">
        <f>B4+1</f>
        <v>2001</v>
      </c>
      <c r="C5" s="61">
        <f aca="true" t="shared" si="0" ref="C5:C12">C4*D$14</f>
        <v>1949.79</v>
      </c>
      <c r="D5" s="61">
        <f aca="true" t="shared" si="1" ref="D5:D12">D4*D$14</f>
        <v>7739.42</v>
      </c>
    </row>
    <row r="6" spans="2:4" ht="12.75">
      <c r="B6" s="19">
        <f aca="true" t="shared" si="2" ref="B6:B12">B5+1</f>
        <v>2002</v>
      </c>
      <c r="C6" s="61">
        <f t="shared" si="0"/>
        <v>2008.2837</v>
      </c>
      <c r="D6" s="61">
        <f t="shared" si="1"/>
        <v>7971.6026</v>
      </c>
    </row>
    <row r="7" spans="2:4" ht="12.75">
      <c r="B7" s="19">
        <f t="shared" si="2"/>
        <v>2003</v>
      </c>
      <c r="C7" s="61">
        <f t="shared" si="0"/>
        <v>2068.532211</v>
      </c>
      <c r="D7" s="61">
        <f t="shared" si="1"/>
        <v>8210.750678</v>
      </c>
    </row>
    <row r="8" spans="2:4" ht="12.75">
      <c r="B8" s="19">
        <f t="shared" si="2"/>
        <v>2004</v>
      </c>
      <c r="C8" s="61">
        <f t="shared" si="0"/>
        <v>2130.5881773300002</v>
      </c>
      <c r="D8" s="61">
        <f t="shared" si="1"/>
        <v>8457.07319834</v>
      </c>
    </row>
    <row r="9" spans="2:4" ht="12.75">
      <c r="B9" s="19">
        <f t="shared" si="2"/>
        <v>2005</v>
      </c>
      <c r="C9" s="61">
        <f t="shared" si="0"/>
        <v>2194.5058226499004</v>
      </c>
      <c r="D9" s="61">
        <f t="shared" si="1"/>
        <v>8710.7853942902</v>
      </c>
    </row>
    <row r="10" spans="2:4" ht="12.75">
      <c r="B10" s="19">
        <f t="shared" si="2"/>
        <v>2006</v>
      </c>
      <c r="C10" s="61">
        <f t="shared" si="0"/>
        <v>2260.3409973293974</v>
      </c>
      <c r="D10" s="61">
        <f t="shared" si="1"/>
        <v>8972.108956118906</v>
      </c>
    </row>
    <row r="11" spans="2:4" ht="12.75">
      <c r="B11" s="19">
        <f t="shared" si="2"/>
        <v>2007</v>
      </c>
      <c r="C11" s="61">
        <f t="shared" si="0"/>
        <v>2328.1512272492796</v>
      </c>
      <c r="D11" s="61">
        <f t="shared" si="1"/>
        <v>9241.272224802473</v>
      </c>
    </row>
    <row r="12" spans="2:7" ht="12.75">
      <c r="B12" s="19">
        <f t="shared" si="2"/>
        <v>2008</v>
      </c>
      <c r="C12" s="61">
        <f t="shared" si="0"/>
        <v>2397.995764066758</v>
      </c>
      <c r="D12" s="61">
        <f t="shared" si="1"/>
        <v>9518.510391546548</v>
      </c>
      <c r="E12" s="664">
        <v>2130</v>
      </c>
      <c r="F12" s="2">
        <v>2</v>
      </c>
      <c r="G12" s="61">
        <f>F12*E12</f>
        <v>4260</v>
      </c>
    </row>
    <row r="13" spans="2:4" ht="12.75">
      <c r="B13" s="19"/>
      <c r="C13" s="61"/>
      <c r="D13" s="61"/>
    </row>
    <row r="14" spans="1:5" ht="12.75">
      <c r="A14" s="19" t="s">
        <v>1439</v>
      </c>
      <c r="B14" s="19"/>
      <c r="C14" s="658">
        <v>0.03</v>
      </c>
      <c r="D14" s="659">
        <f>1+C14</f>
        <v>1.03</v>
      </c>
      <c r="E14" s="2" t="s">
        <v>1443</v>
      </c>
    </row>
    <row r="15" spans="1:4" ht="12.75">
      <c r="A15" s="19"/>
      <c r="B15" s="19"/>
      <c r="C15" s="658"/>
      <c r="D15" s="659"/>
    </row>
    <row r="16" spans="1:3" ht="12.75">
      <c r="A16" s="2" t="s">
        <v>1440</v>
      </c>
      <c r="B16" s="2" t="s">
        <v>1441</v>
      </c>
      <c r="C16" s="2" t="s">
        <v>1442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</cp:lastModifiedBy>
  <cp:lastPrinted>2008-05-28T16:13:32Z</cp:lastPrinted>
  <dcterms:created xsi:type="dcterms:W3CDTF">2008-04-10T22:46:10Z</dcterms:created>
  <dcterms:modified xsi:type="dcterms:W3CDTF">2008-06-20T15:09:54Z</dcterms:modified>
  <cp:category/>
  <cp:version/>
  <cp:contentType/>
  <cp:contentStatus/>
</cp:coreProperties>
</file>